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4"/>
  </bookViews>
  <sheets>
    <sheet name="jawaban kasus2" sheetId="1" r:id="rId1"/>
    <sheet name="jawaban kasus3" sheetId="2" r:id="rId2"/>
    <sheet name="jawaban kasus4" sheetId="3" r:id="rId3"/>
    <sheet name="soal bep" sheetId="4" r:id="rId4"/>
    <sheet name="jawaban kasus 6" sheetId="5" r:id="rId5"/>
    <sheet name="jwb kasus 6B" sheetId="6" r:id="rId6"/>
    <sheet name="soal kasus 7" sheetId="7" r:id="rId7"/>
  </sheets>
  <externalReferences>
    <externalReference r:id="rId8"/>
    <externalReference r:id="rId9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/>
  <c r="C6" i="5"/>
  <c r="E14" i="6" l="1"/>
  <c r="F9"/>
  <c r="F7"/>
  <c r="E9"/>
  <c r="E7"/>
  <c r="E6"/>
  <c r="B10"/>
  <c r="B11"/>
  <c r="B12"/>
  <c r="B13"/>
  <c r="B9"/>
  <c r="E19" i="5"/>
  <c r="G9" i="6" s="1"/>
  <c r="H9" s="1"/>
  <c r="B28" i="5"/>
  <c r="B25"/>
  <c r="B22"/>
  <c r="B19"/>
  <c r="C18"/>
  <c r="C9" i="6" s="1"/>
  <c r="B74" i="3"/>
  <c r="C58"/>
  <c r="C57"/>
  <c r="C42"/>
  <c r="C41"/>
  <c r="B42"/>
  <c r="B41"/>
  <c r="C40"/>
  <c r="D43" s="1"/>
  <c r="B40"/>
  <c r="G39"/>
  <c r="G38"/>
  <c r="D35"/>
  <c r="C35"/>
  <c r="C36"/>
  <c r="D36" s="1"/>
  <c r="D37" s="1"/>
  <c r="D9"/>
  <c r="D10" s="1"/>
  <c r="D11" s="1"/>
  <c r="D12" s="1"/>
  <c r="C21"/>
  <c r="B35" s="1"/>
  <c r="B21"/>
  <c r="B112" i="2"/>
  <c r="B113"/>
  <c r="D9" i="6" l="1"/>
  <c r="C29" i="3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F44" l="1"/>
  <c r="E46"/>
  <c r="E48"/>
  <c r="D45"/>
  <c r="D47"/>
  <c r="D49"/>
  <c r="C46"/>
  <c r="C48"/>
  <c r="C44"/>
  <c r="E45"/>
  <c r="E47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B29" i="5" l="1"/>
  <c r="C30" s="1"/>
  <c r="C11" i="6" s="1"/>
  <c r="D11" s="1"/>
  <c r="B40" i="5"/>
  <c r="B39"/>
  <c r="B26"/>
  <c r="C27" s="1"/>
  <c r="C13" i="6" s="1"/>
  <c r="D13" s="1"/>
  <c r="B37" i="5"/>
  <c r="B20"/>
  <c r="C21" s="1"/>
  <c r="C10" i="6" s="1"/>
  <c r="D10" s="1"/>
  <c r="B38" i="5"/>
  <c r="B23"/>
  <c r="C24" s="1"/>
  <c r="C12" i="6" s="1"/>
  <c r="D12" s="1"/>
  <c r="B53" i="3"/>
  <c r="D93" i="2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D78" s="1"/>
  <c r="D79" s="1"/>
  <c r="D80" s="1"/>
  <c r="D81" s="1"/>
  <c r="D82" s="1"/>
  <c r="D83" s="1"/>
  <c r="B46" i="3"/>
  <c r="D60" i="2"/>
  <c r="B45" i="3"/>
  <c r="D49" s="1"/>
  <c r="F31" i="1"/>
  <c r="F36" s="1"/>
  <c r="F6" i="6" s="1"/>
  <c r="F14" s="1"/>
  <c r="D36" i="1"/>
  <c r="D96" i="2"/>
  <c r="D97" s="1"/>
  <c r="D98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14" i="1"/>
  <c r="F26"/>
  <c r="F17"/>
  <c r="F29"/>
  <c r="D43" l="1"/>
  <c r="B78" i="3" s="1"/>
  <c r="C34" i="5"/>
  <c r="B6" i="6"/>
  <c r="B14" s="1"/>
  <c r="C41" i="5"/>
  <c r="F46" i="2"/>
  <c r="F47" s="1"/>
  <c r="F48" s="1"/>
  <c r="F49" s="1"/>
  <c r="E16" i="5"/>
  <c r="G7" i="6" s="1"/>
  <c r="H7" s="1"/>
  <c r="D50" i="3"/>
  <c r="F43" i="1"/>
  <c r="C21" i="2"/>
  <c r="G43" i="1"/>
  <c r="D62" i="2"/>
  <c r="D63" s="1"/>
  <c r="D64" s="1"/>
  <c r="E61"/>
  <c r="E62" s="1"/>
  <c r="E63" s="1"/>
  <c r="E64" s="1"/>
  <c r="C29" i="4" l="1"/>
  <c r="A40" s="1"/>
  <c r="E31" i="2"/>
  <c r="D31"/>
  <c r="C31"/>
  <c r="E30"/>
  <c r="D30"/>
  <c r="C5" i="5" s="1"/>
  <c r="C30" i="2"/>
  <c r="C29"/>
  <c r="F29"/>
  <c r="E33"/>
  <c r="D33"/>
  <c r="C33"/>
  <c r="E32"/>
  <c r="D32"/>
  <c r="C32"/>
  <c r="B52" i="3" l="1"/>
  <c r="D54" s="1"/>
  <c r="D55" s="1"/>
  <c r="F60" s="1"/>
  <c r="F30" i="2"/>
  <c r="C60" i="3" l="1"/>
  <c r="C59"/>
  <c r="F31" i="2"/>
  <c r="F32" s="1"/>
  <c r="F33" s="1"/>
  <c r="E15" i="5"/>
  <c r="D61" i="3" l="1"/>
  <c r="D62" s="1"/>
  <c r="G6" i="6"/>
  <c r="B73" i="3" l="1"/>
  <c r="C75" s="1"/>
  <c r="B77"/>
  <c r="C79" s="1"/>
  <c r="H6" i="6"/>
  <c r="C4" i="5" l="1"/>
  <c r="E20" l="1"/>
  <c r="C7"/>
  <c r="C35" s="1"/>
  <c r="C42" s="1"/>
  <c r="C15" s="1"/>
  <c r="G10" i="6" l="1"/>
  <c r="G14" s="1"/>
  <c r="H14" s="1"/>
  <c r="E31" i="5"/>
  <c r="C6" i="6"/>
  <c r="C31" i="5"/>
  <c r="C14" i="6" l="1"/>
  <c r="D14" s="1"/>
  <c r="D6"/>
  <c r="F31" i="5"/>
</calcChain>
</file>

<file path=xl/sharedStrings.xml><?xml version="1.0" encoding="utf-8"?>
<sst xmlns="http://schemas.openxmlformats.org/spreadsheetml/2006/main" count="360" uniqueCount="280">
  <si>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</si>
  <si>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</si>
  <si>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</si>
  <si>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</si>
  <si>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</si>
  <si>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</si>
  <si>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</si>
  <si>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</si>
  <si>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</si>
  <si>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</si>
  <si>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</si>
  <si>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</si>
  <si>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</si>
  <si>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</si>
  <si>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</si>
  <si>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</si>
  <si>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</si>
  <si>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</si>
  <si>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</si>
  <si>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</si>
  <si>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</si>
  <si>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</si>
  <si>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</si>
  <si>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</si>
  <si>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</si>
  <si>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</si>
  <si>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</si>
  <si>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</si>
  <si>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</si>
  <si>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</si>
  <si>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</si>
  <si>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</si>
  <si>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</si>
  <si>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</si>
  <si>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</si>
  <si>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</si>
  <si>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</si>
  <si>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</si>
  <si>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</si>
  <si>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</si>
  <si>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</si>
  <si>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</si>
  <si>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</si>
  <si>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</si>
  <si>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</si>
  <si>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</si>
  <si>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</si>
  <si>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</si>
  <si>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</si>
  <si>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</si>
  <si>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</si>
  <si>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</si>
  <si>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</si>
  <si>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</si>
  <si>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</si>
  <si>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</si>
  <si>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</si>
  <si>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</si>
  <si>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</si>
  <si>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</si>
  <si>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</si>
  <si>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</si>
  <si>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</si>
  <si>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</si>
  <si>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</si>
  <si>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</si>
  <si>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</si>
  <si>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</si>
  <si>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</si>
  <si>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</si>
  <si>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</si>
  <si>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</si>
  <si>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</si>
  <si>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</si>
  <si>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</si>
  <si>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</si>
  <si>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</si>
  <si>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</si>
  <si>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</si>
  <si>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</si>
  <si>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</si>
  <si>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</si>
  <si>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</si>
  <si>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</si>
  <si>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</si>
  <si>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</si>
  <si>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</si>
  <si>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</si>
  <si>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</si>
  <si>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</si>
  <si>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</si>
  <si>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</si>
  <si>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</si>
  <si>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</si>
  <si>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</si>
  <si>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</si>
  <si>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</si>
  <si>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</si>
  <si>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</si>
  <si>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</si>
  <si>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</si>
  <si>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</si>
  <si>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</si>
  <si>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</si>
  <si>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</si>
  <si>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</si>
  <si>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</si>
  <si>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</si>
  <si>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</si>
  <si>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</si>
  <si>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</si>
  <si>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</si>
  <si>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</si>
  <si>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</si>
  <si>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</si>
  <si>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</si>
  <si>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</si>
  <si>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</si>
  <si>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</si>
  <si>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</si>
  <si>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</si>
  <si>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</si>
  <si>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</si>
  <si>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</si>
  <si>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</si>
  <si>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</si>
  <si>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</si>
  <si>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</si>
  <si>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</si>
  <si>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</si>
  <si>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</si>
  <si>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</si>
  <si>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</si>
  <si>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</si>
  <si>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</si>
  <si>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</si>
  <si>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</si>
  <si>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</si>
  <si>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</si>
  <si>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</si>
  <si>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</si>
  <si>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</si>
  <si>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</si>
  <si>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</si>
  <si>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</si>
  <si>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</si>
  <si>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</si>
  <si>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</si>
  <si>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</si>
  <si>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</si>
  <si>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</si>
  <si>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</si>
  <si>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</si>
  <si>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</si>
  <si>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</si>
  <si>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</si>
  <si>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</si>
  <si>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</si>
  <si>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</si>
  <si>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</si>
  <si>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</si>
  <si>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</si>
  <si>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</si>
  <si>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</si>
  <si>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</si>
  <si>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</si>
  <si>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</si>
  <si>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</si>
  <si>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</si>
  <si>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</si>
  <si>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</si>
  <si>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</si>
  <si>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</si>
  <si>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</si>
  <si>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</si>
  <si>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</si>
  <si>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</si>
  <si>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</si>
  <si>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</si>
  <si>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</si>
  <si>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</si>
  <si>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</si>
  <si>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</si>
  <si>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</si>
  <si>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</si>
  <si>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</si>
  <si>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</si>
  <si>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</si>
  <si>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</si>
  <si>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</si>
  <si>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</si>
  <si>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</si>
  <si>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</si>
  <si>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</si>
  <si>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</si>
  <si>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</si>
  <si>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</si>
  <si>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</si>
  <si>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</si>
  <si>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</si>
  <si>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</si>
  <si>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</si>
  <si>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</si>
  <si>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</si>
  <si>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</si>
  <si>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</si>
  <si>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</si>
  <si>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</si>
  <si>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</si>
  <si>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</si>
  <si>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</si>
  <si>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</si>
  <si>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</si>
  <si>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</si>
  <si>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</si>
  <si>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</si>
  <si>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</si>
  <si>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</si>
  <si>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</si>
  <si>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</si>
  <si>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</si>
  <si>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</si>
  <si>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</si>
  <si>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</si>
  <si>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</si>
  <si>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</si>
  <si>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</si>
  <si>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</si>
  <si>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</si>
  <si>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</si>
  <si>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</si>
  <si>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</si>
  <si>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</si>
  <si>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</si>
  <si>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</si>
  <si>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</si>
  <si>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</si>
  <si>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</si>
  <si>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</si>
  <si>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</si>
  <si>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</si>
  <si>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</si>
  <si>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</si>
  <si>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</si>
  <si>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</si>
  <si>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</si>
  <si>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</si>
  <si>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</si>
  <si>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</si>
  <si>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</si>
  <si>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</si>
  <si>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</si>
  <si>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- MK Awal</t>
  </si>
  <si>
    <t>- sisa perubahan modal kerja</t>
  </si>
  <si>
    <t>- penyusutan kendaraan</t>
  </si>
  <si>
    <t>- penyusutan peralatan kantor</t>
  </si>
  <si>
    <t>- penyusutan mesin mesin</t>
  </si>
  <si>
    <t>- penyusutan gedung</t>
  </si>
  <si>
    <t>Modal kerja akhir</t>
  </si>
  <si>
    <t>- Penyusutan</t>
  </si>
  <si>
    <t>ttl penyusutan</t>
  </si>
  <si>
    <t>selisih</t>
  </si>
  <si>
    <t>Total Aset</t>
  </si>
  <si>
    <t>Total Kwjiban &amp; equitas</t>
  </si>
  <si>
    <t>Modal Kerja tahun 2021</t>
  </si>
  <si>
    <t>Perubahan</t>
  </si>
  <si>
    <t xml:space="preserve">- Gedung </t>
  </si>
  <si>
    <t>NERACA PERBANDINGAN</t>
  </si>
  <si>
    <t>PERIODE 2 JANUARI 2021</t>
  </si>
  <si>
    <t>LYD</t>
  </si>
  <si>
    <t>modal kerja dari laba ditahan</t>
  </si>
  <si>
    <t>pembayaran hari ke 14 atau 2 mgg setelah transaksi penjualan, HPP pada kasus 1</t>
  </si>
  <si>
    <t>Analisis Perbandingan  :</t>
  </si>
  <si>
    <t>PM : 16%, menunjukkan kondisi perusahaan sangat prospek ditahun pertama  dengan menghasilkan keuntungan 16%</t>
  </si>
  <si>
    <t>ROA : 34%, investasi lumayan bagus karena tingkat keuntungan dianatas investasi sebesar 34%</t>
  </si>
  <si>
    <t>Laba Yang Ditahan</t>
  </si>
  <si>
    <t xml:space="preserve">berdasarkan neraca perbandingan, terdapat kenaikan aset sebesar 31.78% , dimana kenaikan ini disebabkan bertambahnya </t>
  </si>
  <si>
    <t>JAWABAN KASUS 6 PERUBAHAN MODAL KERJA DAN NERACA</t>
  </si>
  <si>
    <t>Equitas</t>
  </si>
  <si>
    <t>lembar ke 6.3  : NERACA PERBANDINGAN</t>
  </si>
</sst>
</file>

<file path=xl/styles.xml><?xml version="1.0" encoding="utf-8"?>
<styleSheet xmlns="http://schemas.openxmlformats.org/spreadsheetml/2006/main">
  <numFmts count="4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</numFmts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5" fillId="3" borderId="0" xfId="1" applyFont="1" applyFill="1"/>
    <xf numFmtId="0" fontId="5" fillId="0" borderId="0" xfId="0" applyFont="1"/>
    <xf numFmtId="41" fontId="5" fillId="0" borderId="0" xfId="0" applyNumberFormat="1" applyFont="1"/>
    <xf numFmtId="41" fontId="5" fillId="3" borderId="0" xfId="0" applyNumberFormat="1" applyFont="1" applyFill="1" applyAlignment="1">
      <alignment horizontal="center"/>
    </xf>
    <xf numFmtId="0" fontId="15" fillId="0" borderId="0" xfId="0" applyFont="1"/>
    <xf numFmtId="41" fontId="15" fillId="0" borderId="0" xfId="0" applyNumberFormat="1" applyFont="1"/>
    <xf numFmtId="0" fontId="18" fillId="0" borderId="0" xfId="0" applyFont="1"/>
    <xf numFmtId="0" fontId="15" fillId="0" borderId="17" xfId="0" applyFont="1" applyBorder="1"/>
    <xf numFmtId="0" fontId="17" fillId="0" borderId="17" xfId="0" applyFont="1" applyBorder="1"/>
    <xf numFmtId="0" fontId="17" fillId="0" borderId="17" xfId="0" quotePrefix="1" applyFont="1" applyBorder="1"/>
    <xf numFmtId="41" fontId="15" fillId="0" borderId="2" xfId="0" applyNumberFormat="1" applyFont="1" applyBorder="1"/>
    <xf numFmtId="0" fontId="15" fillId="0" borderId="2" xfId="0" applyFont="1" applyBorder="1"/>
    <xf numFmtId="41" fontId="15" fillId="0" borderId="17" xfId="0" applyNumberFormat="1" applyFont="1" applyBorder="1"/>
    <xf numFmtId="10" fontId="15" fillId="0" borderId="17" xfId="2" applyNumberFormat="1" applyFont="1" applyBorder="1"/>
    <xf numFmtId="0" fontId="17" fillId="0" borderId="18" xfId="0" applyFont="1" applyBorder="1"/>
    <xf numFmtId="41" fontId="15" fillId="0" borderId="6" xfId="0" applyNumberFormat="1" applyFont="1" applyBorder="1"/>
    <xf numFmtId="41" fontId="15" fillId="0" borderId="18" xfId="0" applyNumberFormat="1" applyFont="1" applyBorder="1"/>
    <xf numFmtId="10" fontId="16" fillId="0" borderId="18" xfId="2" applyNumberFormat="1" applyFont="1" applyBorder="1"/>
    <xf numFmtId="41" fontId="15" fillId="0" borderId="19" xfId="0" applyNumberFormat="1" applyFont="1" applyBorder="1"/>
    <xf numFmtId="10" fontId="15" fillId="0" borderId="20" xfId="2" applyNumberFormat="1" applyFont="1" applyBorder="1"/>
    <xf numFmtId="10" fontId="16" fillId="0" borderId="21" xfId="2" applyNumberFormat="1" applyFont="1" applyBorder="1"/>
    <xf numFmtId="0" fontId="16" fillId="0" borderId="22" xfId="0" applyFont="1" applyBorder="1"/>
    <xf numFmtId="15" fontId="16" fillId="0" borderId="23" xfId="0" applyNumberFormat="1" applyFont="1" applyBorder="1"/>
    <xf numFmtId="15" fontId="16" fillId="0" borderId="22" xfId="0" applyNumberFormat="1" applyFont="1" applyBorder="1"/>
    <xf numFmtId="0" fontId="16" fillId="0" borderId="24" xfId="0" applyFont="1" applyBorder="1"/>
    <xf numFmtId="0" fontId="16" fillId="0" borderId="25" xfId="0" applyFont="1" applyBorder="1"/>
    <xf numFmtId="0" fontId="17" fillId="0" borderId="4" xfId="0" quotePrefix="1" applyFont="1" applyBorder="1"/>
    <xf numFmtId="41" fontId="15" fillId="0" borderId="5" xfId="0" applyNumberFormat="1" applyFont="1" applyBorder="1"/>
    <xf numFmtId="41" fontId="15" fillId="0" borderId="4" xfId="0" applyNumberFormat="1" applyFont="1" applyBorder="1"/>
    <xf numFmtId="10" fontId="15" fillId="0" borderId="26" xfId="2" applyNumberFormat="1" applyFont="1" applyBorder="1"/>
    <xf numFmtId="0" fontId="15" fillId="0" borderId="3" xfId="0" applyFont="1" applyBorder="1"/>
    <xf numFmtId="0" fontId="15" fillId="0" borderId="5" xfId="0" applyFont="1" applyBorder="1"/>
    <xf numFmtId="0" fontId="15" fillId="0" borderId="4" xfId="0" applyFont="1" applyBorder="1"/>
    <xf numFmtId="10" fontId="15" fillId="0" borderId="4" xfId="2" applyNumberFormat="1" applyFont="1" applyBorder="1"/>
    <xf numFmtId="0" fontId="5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4" fillId="4" borderId="0" xfId="0" applyFont="1" applyFill="1"/>
    <xf numFmtId="0" fontId="0" fillId="4" borderId="0" xfId="0" applyFill="1"/>
    <xf numFmtId="0" fontId="14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/>
    <xf numFmtId="41" fontId="2" fillId="0" borderId="0" xfId="0" quotePrefix="1" applyNumberFormat="1" applyFont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5" fillId="3" borderId="29" xfId="0" applyFont="1" applyFill="1" applyBorder="1" applyAlignment="1">
      <alignment horizontal="center"/>
    </xf>
    <xf numFmtId="41" fontId="2" fillId="0" borderId="2" xfId="0" applyNumberFormat="1" applyFont="1" applyBorder="1"/>
    <xf numFmtId="0" fontId="5" fillId="3" borderId="3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41" fontId="5" fillId="3" borderId="19" xfId="0" applyNumberFormat="1" applyFont="1" applyFill="1" applyBorder="1"/>
    <xf numFmtId="41" fontId="5" fillId="0" borderId="2" xfId="0" applyNumberFormat="1" applyFont="1" applyBorder="1"/>
    <xf numFmtId="41" fontId="5" fillId="3" borderId="19" xfId="1" applyFont="1" applyFill="1" applyBorder="1"/>
    <xf numFmtId="0" fontId="5" fillId="4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4" borderId="2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41" fontId="5" fillId="4" borderId="2" xfId="1" applyFont="1" applyFill="1" applyBorder="1"/>
    <xf numFmtId="41" fontId="5" fillId="0" borderId="2" xfId="1" applyFont="1" applyBorder="1"/>
    <xf numFmtId="0" fontId="16" fillId="0" borderId="0" xfId="0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B35">
            <v>645000</v>
          </cell>
          <cell r="E35">
            <v>109500000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waban kasus2"/>
      <sheetName val="jawaban kasus3"/>
      <sheetName val="jawaban kasus4"/>
    </sheetNames>
    <sheetDataSet>
      <sheetData sheetId="0"/>
      <sheetData sheetId="1"/>
      <sheetData sheetId="2">
        <row r="62">
          <cell r="D62">
            <v>465383000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33" zoomScale="93" zoomScaleNormal="93" workbookViewId="0">
      <selection activeCell="A38" sqref="A38:A42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36" t="s">
        <v>0</v>
      </c>
      <c r="B1" s="136"/>
      <c r="C1" s="136"/>
      <c r="D1" s="136"/>
      <c r="E1" s="136"/>
      <c r="F1" s="1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37" t="s">
        <v>2</v>
      </c>
      <c r="B6" s="138"/>
      <c r="C6" s="138"/>
      <c r="D6" s="138"/>
      <c r="E6" s="139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140" t="s">
        <v>4</v>
      </c>
      <c r="B7" s="141"/>
      <c r="C7" s="141"/>
      <c r="D7" s="141"/>
      <c r="E7" s="142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40" t="s">
        <v>6</v>
      </c>
      <c r="B8" s="141"/>
      <c r="C8" s="141"/>
      <c r="D8" s="141"/>
      <c r="E8" s="142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43" t="s">
        <v>7</v>
      </c>
      <c r="B9" s="144"/>
      <c r="C9" s="144"/>
      <c r="D9" s="144"/>
      <c r="E9" s="145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147"/>
      <c r="B14" s="148"/>
      <c r="C14" s="148"/>
      <c r="D14" s="148"/>
      <c r="E14" s="149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143" t="s">
        <v>15</v>
      </c>
      <c r="B16" s="144"/>
      <c r="C16" s="144"/>
      <c r="D16" s="144"/>
      <c r="E16" s="145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146" t="s">
        <v>16</v>
      </c>
      <c r="B17" s="146"/>
      <c r="C17" s="146"/>
      <c r="D17" s="146"/>
      <c r="E17" s="146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50" t="s">
        <v>17</v>
      </c>
      <c r="B19" s="150"/>
      <c r="C19" s="150"/>
      <c r="D19" s="150"/>
      <c r="E19" s="150"/>
      <c r="F19" s="15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37" t="s">
        <v>2</v>
      </c>
      <c r="B20" s="138"/>
      <c r="C20" s="138"/>
      <c r="D20" s="138"/>
      <c r="E20" s="139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40" t="s">
        <v>19</v>
      </c>
      <c r="B21" s="141"/>
      <c r="C21" s="141"/>
      <c r="D21" s="141"/>
      <c r="E21" s="142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40" t="s">
        <v>20</v>
      </c>
      <c r="B22" s="141"/>
      <c r="C22" s="141"/>
      <c r="D22" s="141"/>
      <c r="E22" s="142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43" t="s">
        <v>21</v>
      </c>
      <c r="B23" s="144"/>
      <c r="C23" s="144"/>
      <c r="D23" s="144"/>
      <c r="E23" s="145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155" t="s">
        <v>25</v>
      </c>
      <c r="B28" s="156"/>
      <c r="C28" s="156"/>
      <c r="D28" s="156"/>
      <c r="E28" s="157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51" t="s">
        <v>26</v>
      </c>
      <c r="B29" s="152"/>
      <c r="C29" s="152"/>
      <c r="D29" s="152"/>
      <c r="E29" s="153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160" t="s">
        <v>27</v>
      </c>
      <c r="B30" s="161"/>
      <c r="C30" s="161"/>
      <c r="D30" s="161"/>
      <c r="E30" s="162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146" t="s">
        <v>56</v>
      </c>
      <c r="B31" s="146"/>
      <c r="C31" s="146"/>
      <c r="D31" s="146"/>
      <c r="E31" s="146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59" t="s">
        <v>28</v>
      </c>
      <c r="B33" s="159"/>
      <c r="C33" s="159"/>
      <c r="D33" s="159"/>
      <c r="E33" s="159"/>
      <c r="F33" s="15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46" t="s">
        <v>31</v>
      </c>
      <c r="B34" s="146"/>
      <c r="C34" s="146"/>
      <c r="D34" s="146"/>
      <c r="E34" s="154" t="s">
        <v>29</v>
      </c>
      <c r="F34" s="15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46" t="s">
        <v>38</v>
      </c>
      <c r="B43" s="146"/>
      <c r="C43" s="146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50" t="s">
        <v>49</v>
      </c>
      <c r="B49" s="150"/>
      <c r="C49" s="150"/>
      <c r="D49" s="150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58" t="s">
        <v>50</v>
      </c>
      <c r="B50" s="158"/>
      <c r="C50" s="158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46" t="s">
        <v>54</v>
      </c>
      <c r="B54" s="146"/>
      <c r="C54" s="146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49:D49"/>
    <mergeCell ref="A50:C50"/>
    <mergeCell ref="A54:C54"/>
    <mergeCell ref="A33:F33"/>
    <mergeCell ref="A30:E30"/>
    <mergeCell ref="A31:E31"/>
    <mergeCell ref="A29:E29"/>
    <mergeCell ref="A43:C43"/>
    <mergeCell ref="A34:D34"/>
    <mergeCell ref="E34:F34"/>
    <mergeCell ref="A28:E28"/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22" zoomScale="86" zoomScaleNormal="86" workbookViewId="0">
      <selection sqref="A1:F1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163" t="s">
        <v>114</v>
      </c>
      <c r="B1" s="163"/>
      <c r="C1" s="163"/>
      <c r="D1" s="163"/>
      <c r="E1" s="163"/>
      <c r="F1" s="16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6"/>
      <c r="B2" s="46"/>
      <c r="C2" s="46"/>
      <c r="D2" s="46"/>
      <c r="E2" s="46"/>
      <c r="F2" s="4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6" t="s">
        <v>58</v>
      </c>
      <c r="B3" s="46"/>
      <c r="C3" s="46"/>
      <c r="D3" s="46"/>
      <c r="E3" s="46"/>
      <c r="F3" s="4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169" t="s">
        <v>59</v>
      </c>
      <c r="B4" s="169"/>
      <c r="C4" s="169"/>
      <c r="D4" s="169"/>
      <c r="E4" s="169"/>
      <c r="F4" s="16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47" t="s">
        <v>60</v>
      </c>
      <c r="B5" s="47" t="s">
        <v>61</v>
      </c>
      <c r="C5" s="47" t="s">
        <v>62</v>
      </c>
      <c r="D5" s="47"/>
      <c r="E5" s="47" t="s">
        <v>63</v>
      </c>
      <c r="F5" s="47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48" t="s">
        <v>65</v>
      </c>
      <c r="B6" s="49">
        <f>+'jawaban kasus2'!D39</f>
        <v>427500000</v>
      </c>
      <c r="C6" s="48">
        <v>10</v>
      </c>
      <c r="D6" s="48" t="s">
        <v>69</v>
      </c>
      <c r="E6" s="50">
        <v>0.4</v>
      </c>
      <c r="F6" s="48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48" t="s">
        <v>66</v>
      </c>
      <c r="B7" s="49">
        <f>+'jawaban kasus2'!D40</f>
        <v>30000000</v>
      </c>
      <c r="C7" s="48">
        <v>6</v>
      </c>
      <c r="D7" s="48" t="s">
        <v>69</v>
      </c>
      <c r="E7" s="50">
        <v>0.25</v>
      </c>
      <c r="F7" s="48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48" t="s">
        <v>67</v>
      </c>
      <c r="B8" s="49">
        <f>+'jawaban kasus2'!D41</f>
        <v>180000000</v>
      </c>
      <c r="C8" s="48">
        <v>5</v>
      </c>
      <c r="D8" s="48" t="s">
        <v>69</v>
      </c>
      <c r="E8" s="50">
        <v>0.2</v>
      </c>
      <c r="F8" s="48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48" t="s">
        <v>68</v>
      </c>
      <c r="B9" s="49">
        <f>+'jawaban kasus2'!D42</f>
        <v>7500000</v>
      </c>
      <c r="C9" s="48">
        <v>6</v>
      </c>
      <c r="D9" s="48" t="s">
        <v>69</v>
      </c>
      <c r="E9" s="48">
        <v>0</v>
      </c>
      <c r="F9" s="48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6"/>
      <c r="B10" s="46"/>
      <c r="C10" s="46"/>
      <c r="D10" s="46"/>
      <c r="E10" s="46"/>
      <c r="F10" s="4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1" t="s">
        <v>75</v>
      </c>
      <c r="B11" s="51"/>
      <c r="C11" s="46"/>
      <c r="D11" s="46"/>
      <c r="E11" s="46"/>
      <c r="F11" s="4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1" t="s">
        <v>73</v>
      </c>
      <c r="B12" s="51"/>
      <c r="C12" s="46"/>
      <c r="D12" s="46"/>
      <c r="E12" s="46"/>
      <c r="F12" s="4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1" t="s">
        <v>74</v>
      </c>
      <c r="B13" s="51"/>
      <c r="C13" s="46"/>
      <c r="D13" s="46"/>
      <c r="E13" s="46"/>
      <c r="F13" s="4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6" t="s">
        <v>112</v>
      </c>
      <c r="B14" s="46"/>
      <c r="C14" s="46"/>
      <c r="D14" s="46"/>
      <c r="E14" s="46"/>
      <c r="F14" s="4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6" t="s">
        <v>78</v>
      </c>
      <c r="B15" s="46"/>
      <c r="C15" s="46"/>
      <c r="D15" s="46"/>
      <c r="E15" s="46"/>
      <c r="F15" s="4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6" t="s">
        <v>76</v>
      </c>
      <c r="B16" s="46"/>
      <c r="C16" s="46"/>
      <c r="D16" s="46"/>
      <c r="E16" s="46"/>
      <c r="F16" s="4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6" t="s">
        <v>77</v>
      </c>
      <c r="B17" s="46"/>
      <c r="C17" s="46"/>
      <c r="D17" s="46"/>
      <c r="E17" s="46"/>
      <c r="F17" s="4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6"/>
      <c r="B18" s="46"/>
      <c r="C18" s="46"/>
      <c r="D18" s="46"/>
      <c r="E18" s="46"/>
      <c r="F18" s="4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166" t="s">
        <v>113</v>
      </c>
      <c r="B19" s="166"/>
      <c r="C19" s="166"/>
      <c r="D19" s="166"/>
      <c r="E19" s="166"/>
      <c r="F19" s="4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2" t="s">
        <v>79</v>
      </c>
      <c r="B20" s="52"/>
      <c r="C20" s="46"/>
      <c r="D20" s="46"/>
      <c r="E20" s="46"/>
      <c r="F20" s="4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164" t="s">
        <v>80</v>
      </c>
      <c r="B21" s="165"/>
      <c r="C21" s="49">
        <f>+'jawaban kasus2'!F36</f>
        <v>79500000</v>
      </c>
      <c r="D21" s="46"/>
      <c r="E21" s="46"/>
      <c r="F21" s="4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48" t="s">
        <v>81</v>
      </c>
      <c r="B22" s="48"/>
      <c r="C22" s="48">
        <v>4</v>
      </c>
      <c r="D22" s="46" t="s">
        <v>69</v>
      </c>
      <c r="E22" s="46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48" t="s">
        <v>82</v>
      </c>
      <c r="B23" s="48"/>
      <c r="C23" s="50">
        <v>0.18</v>
      </c>
      <c r="D23" s="46"/>
      <c r="E23" s="46"/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48" t="s">
        <v>83</v>
      </c>
      <c r="B24" s="48"/>
      <c r="C24" s="48">
        <v>0</v>
      </c>
      <c r="D24" s="46"/>
      <c r="E24" s="46"/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164" t="s">
        <v>84</v>
      </c>
      <c r="B25" s="165"/>
      <c r="C25" s="53">
        <v>44194</v>
      </c>
      <c r="D25" s="46"/>
      <c r="E25" s="46"/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6"/>
      <c r="B26" s="46"/>
      <c r="C26" s="46"/>
      <c r="D26" s="46"/>
      <c r="E26" s="46"/>
      <c r="F26" s="4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166" t="s">
        <v>85</v>
      </c>
      <c r="B27" s="166"/>
      <c r="C27" s="166"/>
      <c r="D27" s="46"/>
      <c r="E27" s="46"/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4" t="s">
        <v>86</v>
      </c>
      <c r="B28" s="54" t="s">
        <v>87</v>
      </c>
      <c r="C28" s="54" t="s">
        <v>88</v>
      </c>
      <c r="D28" s="54" t="s">
        <v>89</v>
      </c>
      <c r="E28" s="54" t="s">
        <v>90</v>
      </c>
      <c r="F28" s="54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48">
        <v>0</v>
      </c>
      <c r="B29" s="53">
        <f>+C25</f>
        <v>44194</v>
      </c>
      <c r="C29" s="55">
        <f>PMT($C$23,$C$22,$C$21)*-1</f>
        <v>29553224.338846717</v>
      </c>
      <c r="D29" s="55">
        <v>0</v>
      </c>
      <c r="E29" s="55">
        <v>0</v>
      </c>
      <c r="F29" s="56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48">
        <v>1</v>
      </c>
      <c r="B30" s="53">
        <f>+B29+365</f>
        <v>44559</v>
      </c>
      <c r="C30" s="55">
        <f t="shared" ref="C30:C33" si="0">PMT($C$23,$C$22,$C$21)*-1</f>
        <v>29553224.338846717</v>
      </c>
      <c r="D30" s="55">
        <f t="shared" ref="D30:D33" si="1">PPMT($C$23,A30,$C$22,$C$21)*-1</f>
        <v>15243224.338846717</v>
      </c>
      <c r="E30" s="55">
        <f t="shared" ref="E30:E33" si="2">IPMT($C$23,A30,$C$22,$C$21)*-1</f>
        <v>14310000</v>
      </c>
      <c r="F30" s="56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48">
        <v>2</v>
      </c>
      <c r="B31" s="53">
        <f t="shared" ref="B31:B33" si="3">+B30+365</f>
        <v>44924</v>
      </c>
      <c r="C31" s="55">
        <f t="shared" si="0"/>
        <v>29553224.338846717</v>
      </c>
      <c r="D31" s="55">
        <f t="shared" si="1"/>
        <v>17987004.719839126</v>
      </c>
      <c r="E31" s="55">
        <f t="shared" si="2"/>
        <v>11566219.619007593</v>
      </c>
      <c r="F31" s="56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48">
        <v>3</v>
      </c>
      <c r="B32" s="53">
        <f t="shared" si="3"/>
        <v>45289</v>
      </c>
      <c r="C32" s="55">
        <f t="shared" si="0"/>
        <v>29553224.338846717</v>
      </c>
      <c r="D32" s="55">
        <f t="shared" si="1"/>
        <v>21224665.569410168</v>
      </c>
      <c r="E32" s="55">
        <f t="shared" si="2"/>
        <v>8328558.7694365485</v>
      </c>
      <c r="F32" s="56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48">
        <v>4</v>
      </c>
      <c r="B33" s="53">
        <f t="shared" si="3"/>
        <v>45654</v>
      </c>
      <c r="C33" s="55">
        <f t="shared" si="0"/>
        <v>29553224.338846717</v>
      </c>
      <c r="D33" s="55">
        <f t="shared" si="1"/>
        <v>25045105.371903997</v>
      </c>
      <c r="E33" s="55">
        <f t="shared" si="2"/>
        <v>4508118.9669427201</v>
      </c>
      <c r="F33" s="56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6"/>
      <c r="B34" s="46"/>
      <c r="C34" s="46"/>
      <c r="D34" s="46"/>
      <c r="E34" s="46"/>
      <c r="F34" s="4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2" t="s">
        <v>92</v>
      </c>
      <c r="B35" s="52"/>
      <c r="C35" s="46"/>
      <c r="D35" s="46"/>
      <c r="E35" s="46"/>
      <c r="F35" s="4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164" t="s">
        <v>80</v>
      </c>
      <c r="B36" s="165"/>
      <c r="C36" s="49">
        <f>+'jawaban kasus2'!F37</f>
        <v>135000000</v>
      </c>
      <c r="D36" s="46"/>
      <c r="E36" s="46"/>
      <c r="F36" s="4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48" t="s">
        <v>81</v>
      </c>
      <c r="B37" s="48"/>
      <c r="C37" s="48">
        <v>5</v>
      </c>
      <c r="D37" s="46" t="s">
        <v>69</v>
      </c>
      <c r="E37" s="46"/>
      <c r="F37" s="4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48" t="s">
        <v>82</v>
      </c>
      <c r="B38" s="48"/>
      <c r="C38" s="50">
        <v>0.16</v>
      </c>
      <c r="D38" s="46"/>
      <c r="E38" s="46"/>
      <c r="F38" s="4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48" t="s">
        <v>83</v>
      </c>
      <c r="B39" s="48"/>
      <c r="C39" s="48">
        <v>0</v>
      </c>
      <c r="D39" s="46"/>
      <c r="E39" s="46"/>
      <c r="F39" s="4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164" t="s">
        <v>84</v>
      </c>
      <c r="B40" s="165"/>
      <c r="C40" s="53">
        <v>44191</v>
      </c>
      <c r="D40" s="46"/>
      <c r="E40" s="46"/>
      <c r="F40" s="4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6"/>
      <c r="B41" s="46"/>
      <c r="C41" s="46"/>
      <c r="D41" s="46"/>
      <c r="E41" s="46"/>
      <c r="F41" s="4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166" t="s">
        <v>93</v>
      </c>
      <c r="B42" s="166"/>
      <c r="C42" s="166"/>
      <c r="D42" s="46"/>
      <c r="E42" s="46"/>
      <c r="F42" s="4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4" t="s">
        <v>86</v>
      </c>
      <c r="B43" s="54" t="s">
        <v>87</v>
      </c>
      <c r="C43" s="54" t="s">
        <v>88</v>
      </c>
      <c r="D43" s="54" t="s">
        <v>89</v>
      </c>
      <c r="E43" s="54" t="s">
        <v>90</v>
      </c>
      <c r="F43" s="54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48">
        <v>0</v>
      </c>
      <c r="B44" s="53">
        <f>+C40</f>
        <v>44191</v>
      </c>
      <c r="C44" s="55">
        <f>PMT($C$38,$C$37,$C$36)*-1</f>
        <v>41230266.518412702</v>
      </c>
      <c r="D44" s="55">
        <v>0</v>
      </c>
      <c r="E44" s="55">
        <v>0</v>
      </c>
      <c r="F44" s="57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48">
        <v>1</v>
      </c>
      <c r="B45" s="53">
        <f>+B44+365</f>
        <v>44556</v>
      </c>
      <c r="C45" s="55">
        <f t="shared" ref="C45:C49" si="5">PMT($C$38,$C$37,$C$36)*-1</f>
        <v>41230266.518412702</v>
      </c>
      <c r="D45" s="55">
        <f t="shared" ref="D45:D49" si="6">PPMT($C$38,A45,$C$37,$C$36)*-1</f>
        <v>19630266.518412702</v>
      </c>
      <c r="E45" s="55">
        <f t="shared" ref="E45:E49" si="7">IPMT($C$38,A45,$C$37,$C$36)*-1</f>
        <v>21600000</v>
      </c>
      <c r="F45" s="55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48">
        <v>2</v>
      </c>
      <c r="B46" s="53">
        <f t="shared" ref="B46:B49" si="8">+B45+365</f>
        <v>44921</v>
      </c>
      <c r="C46" s="55">
        <f t="shared" si="5"/>
        <v>41230266.518412702</v>
      </c>
      <c r="D46" s="55">
        <f t="shared" si="6"/>
        <v>22771109.161358729</v>
      </c>
      <c r="E46" s="55">
        <f t="shared" si="7"/>
        <v>18459157.357053973</v>
      </c>
      <c r="F46" s="55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48">
        <v>3</v>
      </c>
      <c r="B47" s="53">
        <f t="shared" si="8"/>
        <v>45286</v>
      </c>
      <c r="C47" s="55">
        <f t="shared" si="5"/>
        <v>41230266.518412702</v>
      </c>
      <c r="D47" s="55">
        <f t="shared" si="6"/>
        <v>26414486.627176128</v>
      </c>
      <c r="E47" s="55">
        <f t="shared" si="7"/>
        <v>14815779.891236575</v>
      </c>
      <c r="F47" s="55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48">
        <v>4</v>
      </c>
      <c r="B48" s="53">
        <f t="shared" si="8"/>
        <v>45651</v>
      </c>
      <c r="C48" s="55">
        <f t="shared" si="5"/>
        <v>41230266.518412702</v>
      </c>
      <c r="D48" s="55">
        <f t="shared" si="6"/>
        <v>30640804.487524308</v>
      </c>
      <c r="E48" s="55">
        <f t="shared" si="7"/>
        <v>10589462.030888392</v>
      </c>
      <c r="F48" s="55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48">
        <v>5</v>
      </c>
      <c r="B49" s="53">
        <f t="shared" si="8"/>
        <v>46016</v>
      </c>
      <c r="C49" s="55">
        <f t="shared" si="5"/>
        <v>41230266.518412702</v>
      </c>
      <c r="D49" s="55">
        <f t="shared" si="6"/>
        <v>35543333.205528192</v>
      </c>
      <c r="E49" s="55">
        <f t="shared" si="7"/>
        <v>5686933.3128845077</v>
      </c>
      <c r="F49" s="55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6"/>
      <c r="B50" s="46"/>
      <c r="C50" s="46"/>
      <c r="D50" s="46"/>
      <c r="E50" s="46"/>
      <c r="F50" s="4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6" t="s">
        <v>94</v>
      </c>
      <c r="B51" s="46"/>
      <c r="C51" s="46"/>
      <c r="D51" s="46"/>
      <c r="E51" s="46"/>
      <c r="F51" s="4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6" t="s">
        <v>95</v>
      </c>
      <c r="B52" s="58">
        <f>+'jawaban kasus2'!D41</f>
        <v>180000000</v>
      </c>
      <c r="C52" s="46"/>
      <c r="D52" s="46"/>
      <c r="E52" s="46"/>
      <c r="F52" s="4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6" t="s">
        <v>96</v>
      </c>
      <c r="B53" s="46">
        <v>5</v>
      </c>
      <c r="C53" s="46" t="s">
        <v>69</v>
      </c>
      <c r="D53" s="46"/>
      <c r="E53" s="46"/>
      <c r="F53" s="4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6" t="s">
        <v>63</v>
      </c>
      <c r="B54" s="59">
        <f>+B52*C54</f>
        <v>36000000</v>
      </c>
      <c r="C54" s="60">
        <v>0.2</v>
      </c>
      <c r="D54" s="46"/>
      <c r="E54" s="46"/>
      <c r="F54" s="4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6" t="s">
        <v>97</v>
      </c>
      <c r="B55" s="46" t="str">
        <f>+A13</f>
        <v>DDB :Double Declining Balance</v>
      </c>
      <c r="C55" s="46"/>
      <c r="D55" s="46"/>
      <c r="E55" s="46"/>
      <c r="F55" s="4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6"/>
      <c r="B56" s="46"/>
      <c r="C56" s="46"/>
      <c r="D56" s="46"/>
      <c r="E56" s="46"/>
      <c r="F56" s="4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167" t="s">
        <v>98</v>
      </c>
      <c r="B57" s="167"/>
      <c r="C57" s="167"/>
      <c r="D57" s="167"/>
      <c r="E57" s="167"/>
      <c r="F57" s="4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1" t="s">
        <v>99</v>
      </c>
      <c r="B58" s="61" t="s">
        <v>69</v>
      </c>
      <c r="C58" s="61" t="s">
        <v>100</v>
      </c>
      <c r="D58" s="61" t="s">
        <v>101</v>
      </c>
      <c r="E58" s="61" t="s">
        <v>102</v>
      </c>
      <c r="F58" s="4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1">
        <v>0</v>
      </c>
      <c r="B59" s="61">
        <v>2020</v>
      </c>
      <c r="C59" s="62">
        <v>0</v>
      </c>
      <c r="D59" s="61">
        <v>0</v>
      </c>
      <c r="E59" s="63">
        <f>+B52</f>
        <v>180000000</v>
      </c>
      <c r="F59" s="4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1">
        <v>1</v>
      </c>
      <c r="B60" s="61">
        <f>+B59+1</f>
        <v>2021</v>
      </c>
      <c r="C60" s="64">
        <f t="shared" ref="C60:C64" si="10">DDB($B$52,$B$54,$B$53,A60)</f>
        <v>72000000</v>
      </c>
      <c r="D60" s="64">
        <f>+D59+C60</f>
        <v>72000000</v>
      </c>
      <c r="E60" s="64">
        <f>+E59-C60</f>
        <v>108000000</v>
      </c>
      <c r="F60" s="4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1">
        <v>2</v>
      </c>
      <c r="B61" s="61">
        <f t="shared" ref="B61:B64" si="11">+B60+1</f>
        <v>2022</v>
      </c>
      <c r="C61" s="64">
        <f t="shared" si="10"/>
        <v>43200000</v>
      </c>
      <c r="D61" s="64">
        <f t="shared" ref="D61:D64" si="12">+D60+C61</f>
        <v>115200000</v>
      </c>
      <c r="E61" s="64">
        <f t="shared" ref="E61:E64" si="13">+E60-C61</f>
        <v>64800000</v>
      </c>
      <c r="F61" s="4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1">
        <v>3</v>
      </c>
      <c r="B62" s="61">
        <f t="shared" si="11"/>
        <v>2023</v>
      </c>
      <c r="C62" s="64">
        <f t="shared" si="10"/>
        <v>25920000</v>
      </c>
      <c r="D62" s="64">
        <f t="shared" si="12"/>
        <v>141120000</v>
      </c>
      <c r="E62" s="64">
        <f t="shared" si="13"/>
        <v>38880000</v>
      </c>
      <c r="F62" s="4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1">
        <v>4</v>
      </c>
      <c r="B63" s="61">
        <f t="shared" si="11"/>
        <v>2024</v>
      </c>
      <c r="C63" s="64">
        <f t="shared" si="10"/>
        <v>2880000</v>
      </c>
      <c r="D63" s="64">
        <f t="shared" si="12"/>
        <v>144000000</v>
      </c>
      <c r="E63" s="64">
        <f t="shared" si="13"/>
        <v>36000000</v>
      </c>
      <c r="F63" s="4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1">
        <v>5</v>
      </c>
      <c r="B64" s="61">
        <f t="shared" si="11"/>
        <v>2025</v>
      </c>
      <c r="C64" s="64">
        <f t="shared" si="10"/>
        <v>0</v>
      </c>
      <c r="D64" s="64">
        <f t="shared" si="12"/>
        <v>144000000</v>
      </c>
      <c r="E64" s="65">
        <f t="shared" si="13"/>
        <v>36000000</v>
      </c>
      <c r="F64" s="4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6"/>
      <c r="B65" s="46"/>
      <c r="C65" s="46"/>
      <c r="D65" s="46"/>
      <c r="E65" s="46"/>
      <c r="F65" s="4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6" t="s">
        <v>103</v>
      </c>
      <c r="B66" s="46"/>
      <c r="C66" s="46"/>
      <c r="D66" s="46"/>
      <c r="E66" s="46"/>
      <c r="F66" s="4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6" t="s">
        <v>104</v>
      </c>
      <c r="B67" s="58">
        <f>+'jawaban kasus2'!D39</f>
        <v>427500000</v>
      </c>
      <c r="C67" s="46"/>
      <c r="D67" s="46"/>
      <c r="E67" s="46"/>
      <c r="F67" s="4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6" t="s">
        <v>96</v>
      </c>
      <c r="B68" s="46">
        <v>10</v>
      </c>
      <c r="C68" s="46" t="s">
        <v>69</v>
      </c>
      <c r="D68" s="46"/>
      <c r="E68" s="46"/>
      <c r="F68" s="4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6" t="s">
        <v>63</v>
      </c>
      <c r="B69" s="59">
        <f>+B67*C69</f>
        <v>171000000</v>
      </c>
      <c r="C69" s="60">
        <v>0.4</v>
      </c>
      <c r="D69" s="46"/>
      <c r="E69" s="46"/>
      <c r="F69" s="4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6" t="s">
        <v>97</v>
      </c>
      <c r="B70" s="46" t="str">
        <f>+A11</f>
        <v>SLN : Straight Line Methode</v>
      </c>
      <c r="C70" s="46"/>
      <c r="D70" s="46"/>
      <c r="E70" s="46"/>
      <c r="F70" s="4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167" t="s">
        <v>105</v>
      </c>
      <c r="B71" s="167"/>
      <c r="C71" s="167"/>
      <c r="D71" s="167"/>
      <c r="E71" s="167"/>
      <c r="F71" s="4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1" t="s">
        <v>99</v>
      </c>
      <c r="B72" s="61" t="s">
        <v>69</v>
      </c>
      <c r="C72" s="61" t="s">
        <v>100</v>
      </c>
      <c r="D72" s="61" t="s">
        <v>101</v>
      </c>
      <c r="E72" s="61" t="s">
        <v>102</v>
      </c>
      <c r="F72" s="4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1">
        <v>0</v>
      </c>
      <c r="B73" s="61">
        <v>2020</v>
      </c>
      <c r="C73" s="64">
        <v>0</v>
      </c>
      <c r="D73" s="61">
        <v>0</v>
      </c>
      <c r="E73" s="63">
        <f>+B67</f>
        <v>427500000</v>
      </c>
      <c r="F73" s="4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1">
        <v>1</v>
      </c>
      <c r="B74" s="61">
        <f>+B73+1</f>
        <v>2021</v>
      </c>
      <c r="C74" s="64">
        <f t="shared" ref="C74:C83" si="14">SLN($B$67,$B$69,$B$68)</f>
        <v>25650000</v>
      </c>
      <c r="D74" s="64">
        <f>+D73+C74</f>
        <v>25650000</v>
      </c>
      <c r="E74" s="64">
        <f>+E73-C74</f>
        <v>401850000</v>
      </c>
      <c r="F74" s="4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1">
        <v>2</v>
      </c>
      <c r="B75" s="61">
        <f t="shared" ref="B75:B83" si="15">+B74+1</f>
        <v>2022</v>
      </c>
      <c r="C75" s="64">
        <f t="shared" si="14"/>
        <v>25650000</v>
      </c>
      <c r="D75" s="64">
        <f t="shared" ref="D75:D83" si="16">+D74+C75</f>
        <v>51300000</v>
      </c>
      <c r="E75" s="64">
        <f t="shared" ref="E75:E83" si="17">+E74-C75</f>
        <v>376200000</v>
      </c>
      <c r="F75" s="4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1">
        <v>3</v>
      </c>
      <c r="B76" s="61">
        <f t="shared" si="15"/>
        <v>2023</v>
      </c>
      <c r="C76" s="64">
        <f t="shared" si="14"/>
        <v>25650000</v>
      </c>
      <c r="D76" s="64">
        <f t="shared" si="16"/>
        <v>76950000</v>
      </c>
      <c r="E76" s="64">
        <f t="shared" si="17"/>
        <v>350550000</v>
      </c>
      <c r="F76" s="4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1">
        <v>4</v>
      </c>
      <c r="B77" s="61">
        <f t="shared" si="15"/>
        <v>2024</v>
      </c>
      <c r="C77" s="64">
        <f t="shared" si="14"/>
        <v>25650000</v>
      </c>
      <c r="D77" s="64">
        <f t="shared" si="16"/>
        <v>102600000</v>
      </c>
      <c r="E77" s="64">
        <f t="shared" si="17"/>
        <v>324900000</v>
      </c>
      <c r="F77" s="4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1">
        <v>5</v>
      </c>
      <c r="B78" s="61">
        <f t="shared" si="15"/>
        <v>2025</v>
      </c>
      <c r="C78" s="64">
        <f t="shared" si="14"/>
        <v>25650000</v>
      </c>
      <c r="D78" s="64">
        <f t="shared" si="16"/>
        <v>128250000</v>
      </c>
      <c r="E78" s="64">
        <f t="shared" si="17"/>
        <v>299250000</v>
      </c>
      <c r="F78" s="4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1">
        <v>6</v>
      </c>
      <c r="B79" s="61">
        <f t="shared" si="15"/>
        <v>2026</v>
      </c>
      <c r="C79" s="64">
        <f t="shared" si="14"/>
        <v>25650000</v>
      </c>
      <c r="D79" s="64">
        <f t="shared" si="16"/>
        <v>153900000</v>
      </c>
      <c r="E79" s="64">
        <f t="shared" si="17"/>
        <v>273600000</v>
      </c>
      <c r="F79" s="4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1">
        <v>7</v>
      </c>
      <c r="B80" s="61">
        <f t="shared" si="15"/>
        <v>2027</v>
      </c>
      <c r="C80" s="64">
        <f t="shared" si="14"/>
        <v>25650000</v>
      </c>
      <c r="D80" s="64">
        <f t="shared" si="16"/>
        <v>179550000</v>
      </c>
      <c r="E80" s="64">
        <f t="shared" si="17"/>
        <v>247950000</v>
      </c>
      <c r="F80" s="4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1">
        <v>8</v>
      </c>
      <c r="B81" s="61">
        <f t="shared" si="15"/>
        <v>2028</v>
      </c>
      <c r="C81" s="64">
        <f t="shared" si="14"/>
        <v>25650000</v>
      </c>
      <c r="D81" s="64">
        <f t="shared" si="16"/>
        <v>205200000</v>
      </c>
      <c r="E81" s="64">
        <f t="shared" si="17"/>
        <v>222300000</v>
      </c>
      <c r="F81" s="4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1">
        <v>9</v>
      </c>
      <c r="B82" s="61">
        <f t="shared" si="15"/>
        <v>2029</v>
      </c>
      <c r="C82" s="64">
        <f t="shared" si="14"/>
        <v>25650000</v>
      </c>
      <c r="D82" s="64">
        <f t="shared" si="16"/>
        <v>230850000</v>
      </c>
      <c r="E82" s="64">
        <f t="shared" si="17"/>
        <v>196650000</v>
      </c>
      <c r="F82" s="4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1">
        <v>10</v>
      </c>
      <c r="B83" s="61">
        <f t="shared" si="15"/>
        <v>2030</v>
      </c>
      <c r="C83" s="64">
        <f t="shared" si="14"/>
        <v>25650000</v>
      </c>
      <c r="D83" s="64">
        <f t="shared" si="16"/>
        <v>256500000</v>
      </c>
      <c r="E83" s="65">
        <f t="shared" si="17"/>
        <v>171000000</v>
      </c>
      <c r="F83" s="4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6"/>
      <c r="B84" s="46"/>
      <c r="C84" s="46"/>
      <c r="D84" s="46"/>
      <c r="E84" s="46"/>
      <c r="F84" s="4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6" t="s">
        <v>106</v>
      </c>
      <c r="B85" s="46"/>
      <c r="C85" s="46"/>
      <c r="D85" s="46"/>
      <c r="E85" s="46"/>
      <c r="F85" s="4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6" t="s">
        <v>107</v>
      </c>
      <c r="B86" s="58">
        <f>+'jawaban kasus2'!D40</f>
        <v>30000000</v>
      </c>
      <c r="C86" s="46"/>
      <c r="D86" s="46"/>
      <c r="E86" s="46"/>
      <c r="F86" s="4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6" t="s">
        <v>96</v>
      </c>
      <c r="B87" s="46">
        <v>6</v>
      </c>
      <c r="C87" s="46" t="s">
        <v>69</v>
      </c>
      <c r="D87" s="46"/>
      <c r="E87" s="46"/>
      <c r="F87" s="4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6" t="s">
        <v>63</v>
      </c>
      <c r="B88" s="59">
        <f>+B86*C88</f>
        <v>7500000</v>
      </c>
      <c r="C88" s="60">
        <v>0.25</v>
      </c>
      <c r="D88" s="46"/>
      <c r="E88" s="46"/>
      <c r="F88" s="4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6" t="s">
        <v>97</v>
      </c>
      <c r="B89" s="46" t="str">
        <f>+A12</f>
        <v>SYD : Sum of the Year Digit</v>
      </c>
      <c r="C89" s="46"/>
      <c r="D89" s="46"/>
      <c r="E89" s="46"/>
      <c r="F89" s="4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167" t="s">
        <v>108</v>
      </c>
      <c r="B90" s="167"/>
      <c r="C90" s="167"/>
      <c r="D90" s="167"/>
      <c r="E90" s="167"/>
      <c r="F90" s="4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1" t="s">
        <v>99</v>
      </c>
      <c r="B91" s="61" t="s">
        <v>69</v>
      </c>
      <c r="C91" s="61" t="s">
        <v>100</v>
      </c>
      <c r="D91" s="61" t="s">
        <v>101</v>
      </c>
      <c r="E91" s="61" t="s">
        <v>102</v>
      </c>
      <c r="F91" s="4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1">
        <v>0</v>
      </c>
      <c r="B92" s="61">
        <v>2020</v>
      </c>
      <c r="C92" s="61">
        <v>0</v>
      </c>
      <c r="D92" s="61">
        <v>0</v>
      </c>
      <c r="E92" s="63">
        <f>+B86</f>
        <v>30000000</v>
      </c>
      <c r="F92" s="4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1">
        <v>1</v>
      </c>
      <c r="B93" s="61">
        <f>+B92+1</f>
        <v>2021</v>
      </c>
      <c r="C93" s="64">
        <f>SYD($B$86,$B$88,$B$87,A93)</f>
        <v>6428571.4285714282</v>
      </c>
      <c r="D93" s="64">
        <f>+D92+C93</f>
        <v>6428571.4285714282</v>
      </c>
      <c r="E93" s="64">
        <f>+E92-C93</f>
        <v>23571428.571428571</v>
      </c>
      <c r="F93" s="4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1">
        <v>2</v>
      </c>
      <c r="B94" s="61">
        <f t="shared" ref="B94:B98" si="18">+B93+1</f>
        <v>2022</v>
      </c>
      <c r="C94" s="64">
        <f t="shared" ref="C94:C98" si="19">SYD($B$86,$B$88,$B$87,A94)</f>
        <v>5357142.8571428573</v>
      </c>
      <c r="D94" s="64">
        <f t="shared" ref="D94:D98" si="20">+D93+C94</f>
        <v>11785714.285714285</v>
      </c>
      <c r="E94" s="64">
        <f t="shared" ref="E94:E98" si="21">+E93-C94</f>
        <v>18214285.714285713</v>
      </c>
      <c r="F94" s="4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1">
        <v>3</v>
      </c>
      <c r="B95" s="61">
        <f t="shared" si="18"/>
        <v>2023</v>
      </c>
      <c r="C95" s="64">
        <f t="shared" si="19"/>
        <v>4285714.2857142854</v>
      </c>
      <c r="D95" s="64">
        <f t="shared" si="20"/>
        <v>16071428.571428571</v>
      </c>
      <c r="E95" s="64">
        <f t="shared" si="21"/>
        <v>13928571.428571427</v>
      </c>
      <c r="F95" s="4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1">
        <v>4</v>
      </c>
      <c r="B96" s="61">
        <f t="shared" si="18"/>
        <v>2024</v>
      </c>
      <c r="C96" s="64">
        <f t="shared" si="19"/>
        <v>3214285.7142857141</v>
      </c>
      <c r="D96" s="64">
        <f t="shared" si="20"/>
        <v>19285714.285714284</v>
      </c>
      <c r="E96" s="64">
        <f t="shared" si="21"/>
        <v>10714285.714285713</v>
      </c>
      <c r="F96" s="4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1">
        <v>5</v>
      </c>
      <c r="B97" s="61">
        <f t="shared" si="18"/>
        <v>2025</v>
      </c>
      <c r="C97" s="64">
        <f t="shared" si="19"/>
        <v>2142857.1428571427</v>
      </c>
      <c r="D97" s="64">
        <f t="shared" si="20"/>
        <v>21428571.428571425</v>
      </c>
      <c r="E97" s="64">
        <f t="shared" si="21"/>
        <v>8571428.5714285709</v>
      </c>
      <c r="F97" s="4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1">
        <v>6</v>
      </c>
      <c r="B98" s="61">
        <f t="shared" si="18"/>
        <v>2026</v>
      </c>
      <c r="C98" s="64">
        <f t="shared" si="19"/>
        <v>1071428.5714285714</v>
      </c>
      <c r="D98" s="64">
        <f t="shared" si="20"/>
        <v>22499999.999999996</v>
      </c>
      <c r="E98" s="65">
        <f t="shared" si="21"/>
        <v>7500000</v>
      </c>
      <c r="F98" s="4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6"/>
      <c r="B99" s="46"/>
      <c r="C99" s="46"/>
      <c r="D99" s="46"/>
      <c r="E99" s="46"/>
      <c r="F99" s="4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6" t="s">
        <v>109</v>
      </c>
      <c r="B100" s="46"/>
      <c r="C100" s="46"/>
      <c r="D100" s="46"/>
      <c r="E100" s="46"/>
      <c r="F100" s="4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6" t="s">
        <v>110</v>
      </c>
      <c r="B101" s="58">
        <f>+'jawaban kasus2'!D42</f>
        <v>7500000</v>
      </c>
      <c r="C101" s="46"/>
      <c r="D101" s="46"/>
      <c r="E101" s="46"/>
      <c r="F101" s="4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6" t="s">
        <v>96</v>
      </c>
      <c r="B102" s="46">
        <v>6</v>
      </c>
      <c r="C102" s="46" t="s">
        <v>69</v>
      </c>
      <c r="D102" s="46"/>
      <c r="E102" s="46"/>
      <c r="F102" s="4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6" t="s">
        <v>63</v>
      </c>
      <c r="B103" s="66">
        <f>+B101*C103</f>
        <v>0</v>
      </c>
      <c r="C103" s="60">
        <v>0</v>
      </c>
      <c r="D103" s="46"/>
      <c r="E103" s="46"/>
      <c r="F103" s="4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6" t="s">
        <v>97</v>
      </c>
      <c r="B104" s="46" t="s">
        <v>70</v>
      </c>
      <c r="C104" s="46"/>
      <c r="D104" s="46"/>
      <c r="E104" s="46"/>
      <c r="F104" s="4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168" t="s">
        <v>111</v>
      </c>
      <c r="B105" s="168"/>
      <c r="C105" s="168"/>
      <c r="D105" s="168"/>
      <c r="E105" s="168"/>
      <c r="F105" s="4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1" t="s">
        <v>99</v>
      </c>
      <c r="B106" s="61" t="s">
        <v>69</v>
      </c>
      <c r="C106" s="61" t="s">
        <v>100</v>
      </c>
      <c r="D106" s="61" t="s">
        <v>101</v>
      </c>
      <c r="E106" s="61" t="s">
        <v>102</v>
      </c>
      <c r="F106" s="4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1">
        <v>0</v>
      </c>
      <c r="B107" s="61">
        <v>2020</v>
      </c>
      <c r="C107" s="61">
        <v>0</v>
      </c>
      <c r="D107" s="61">
        <v>0</v>
      </c>
      <c r="E107" s="63">
        <f>+B101</f>
        <v>7500000</v>
      </c>
      <c r="F107" s="4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1">
        <v>1</v>
      </c>
      <c r="B108" s="61">
        <f>+B107+1</f>
        <v>2021</v>
      </c>
      <c r="C108" s="64">
        <f>SLN($B$101,$B$103,$B$102)</f>
        <v>1250000</v>
      </c>
      <c r="D108" s="64">
        <f>+D107+C108</f>
        <v>1250000</v>
      </c>
      <c r="E108" s="64">
        <f>+E107-C108</f>
        <v>6250000</v>
      </c>
      <c r="F108" s="4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1">
        <v>2</v>
      </c>
      <c r="B109" s="61">
        <f t="shared" ref="B109:B113" si="22">+B108+1</f>
        <v>2022</v>
      </c>
      <c r="C109" s="64">
        <f t="shared" ref="C109:C113" si="23">SLN($B$101,$B$103,$B$102)</f>
        <v>1250000</v>
      </c>
      <c r="D109" s="64">
        <f t="shared" ref="D109:D113" si="24">+D108+C109</f>
        <v>2500000</v>
      </c>
      <c r="E109" s="64">
        <f t="shared" ref="E109:E113" si="25">+E108-C109</f>
        <v>5000000</v>
      </c>
      <c r="F109" s="4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1">
        <v>3</v>
      </c>
      <c r="B110" s="61">
        <f t="shared" si="22"/>
        <v>2023</v>
      </c>
      <c r="C110" s="64">
        <f t="shared" si="23"/>
        <v>1250000</v>
      </c>
      <c r="D110" s="64">
        <f t="shared" si="24"/>
        <v>3750000</v>
      </c>
      <c r="E110" s="64">
        <f t="shared" si="25"/>
        <v>3750000</v>
      </c>
      <c r="F110" s="4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1">
        <v>4</v>
      </c>
      <c r="B111" s="61">
        <f t="shared" si="22"/>
        <v>2024</v>
      </c>
      <c r="C111" s="64">
        <f t="shared" si="23"/>
        <v>1250000</v>
      </c>
      <c r="D111" s="64">
        <f t="shared" si="24"/>
        <v>5000000</v>
      </c>
      <c r="E111" s="64">
        <f t="shared" si="25"/>
        <v>2500000</v>
      </c>
      <c r="F111" s="4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1">
        <v>5</v>
      </c>
      <c r="B112" s="61">
        <f t="shared" si="22"/>
        <v>2025</v>
      </c>
      <c r="C112" s="64">
        <f t="shared" si="23"/>
        <v>1250000</v>
      </c>
      <c r="D112" s="64">
        <f t="shared" si="24"/>
        <v>6250000</v>
      </c>
      <c r="E112" s="64">
        <f t="shared" si="25"/>
        <v>1250000</v>
      </c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1">
        <v>6</v>
      </c>
      <c r="B113" s="61">
        <f t="shared" si="22"/>
        <v>2026</v>
      </c>
      <c r="C113" s="64">
        <f t="shared" si="23"/>
        <v>1250000</v>
      </c>
      <c r="D113" s="64">
        <f t="shared" si="24"/>
        <v>7500000</v>
      </c>
      <c r="E113" s="67">
        <f t="shared" si="25"/>
        <v>0</v>
      </c>
      <c r="F113" s="4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6"/>
      <c r="B114" s="46"/>
      <c r="C114" s="46"/>
      <c r="D114" s="46"/>
      <c r="E114" s="46"/>
      <c r="F114" s="4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6"/>
      <c r="B115" s="46"/>
      <c r="C115" s="46"/>
      <c r="D115" s="46"/>
      <c r="E115" s="46"/>
      <c r="F115" s="4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6"/>
      <c r="B116" s="46"/>
      <c r="C116" s="46"/>
      <c r="D116" s="46"/>
      <c r="E116" s="46"/>
      <c r="F116" s="4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6"/>
      <c r="B117" s="46"/>
      <c r="C117" s="46"/>
      <c r="D117" s="46"/>
      <c r="E117" s="46"/>
      <c r="F117" s="4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6"/>
      <c r="B118" s="46"/>
      <c r="C118" s="46"/>
      <c r="D118" s="46"/>
      <c r="E118" s="46"/>
      <c r="F118" s="4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6"/>
      <c r="B119" s="46"/>
      <c r="C119" s="46"/>
      <c r="D119" s="46"/>
      <c r="E119" s="46"/>
      <c r="F119" s="4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6"/>
      <c r="B120" s="46"/>
      <c r="C120" s="46"/>
      <c r="D120" s="46"/>
      <c r="E120" s="46"/>
      <c r="F120" s="4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6"/>
      <c r="B121" s="46"/>
      <c r="C121" s="46"/>
      <c r="D121" s="46"/>
      <c r="E121" s="46"/>
      <c r="F121" s="4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6"/>
      <c r="B122" s="46"/>
      <c r="C122" s="46"/>
      <c r="D122" s="46"/>
      <c r="E122" s="46"/>
      <c r="F122" s="4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6"/>
      <c r="B123" s="46"/>
      <c r="C123" s="46"/>
      <c r="D123" s="46"/>
      <c r="E123" s="46"/>
      <c r="F123" s="4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6"/>
      <c r="B124" s="46"/>
      <c r="C124" s="46"/>
      <c r="D124" s="46"/>
      <c r="E124" s="46"/>
      <c r="F124" s="4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6"/>
      <c r="B125" s="46"/>
      <c r="C125" s="46"/>
      <c r="D125" s="46"/>
      <c r="E125" s="46"/>
      <c r="F125" s="4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6"/>
      <c r="B126" s="46"/>
      <c r="C126" s="46"/>
      <c r="D126" s="46"/>
      <c r="E126" s="46"/>
      <c r="F126" s="4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6"/>
      <c r="B127" s="46"/>
      <c r="C127" s="46"/>
      <c r="D127" s="46"/>
      <c r="E127" s="46"/>
      <c r="F127" s="4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6"/>
      <c r="B128" s="46"/>
      <c r="C128" s="46"/>
      <c r="D128" s="46"/>
      <c r="E128" s="46"/>
      <c r="F128" s="4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6"/>
      <c r="B129" s="46"/>
      <c r="C129" s="46"/>
      <c r="D129" s="46"/>
      <c r="E129" s="46"/>
      <c r="F129" s="4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6"/>
      <c r="B130" s="46"/>
      <c r="C130" s="46"/>
      <c r="D130" s="46"/>
      <c r="E130" s="46"/>
      <c r="F130" s="4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6"/>
      <c r="B131" s="46"/>
      <c r="C131" s="46"/>
      <c r="D131" s="46"/>
      <c r="E131" s="46"/>
      <c r="F131" s="4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6"/>
      <c r="B132" s="46"/>
      <c r="C132" s="46"/>
      <c r="D132" s="46"/>
      <c r="E132" s="46"/>
      <c r="F132" s="4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6"/>
      <c r="B133" s="46"/>
      <c r="C133" s="46"/>
      <c r="D133" s="46"/>
      <c r="E133" s="46"/>
      <c r="F133" s="4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6"/>
      <c r="B134" s="46"/>
      <c r="C134" s="46"/>
      <c r="D134" s="46"/>
      <c r="E134" s="46"/>
      <c r="F134" s="4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6"/>
      <c r="B135" s="46"/>
      <c r="C135" s="46"/>
      <c r="D135" s="46"/>
      <c r="E135" s="46"/>
      <c r="F135" s="4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6"/>
      <c r="B136" s="46"/>
      <c r="C136" s="46"/>
      <c r="D136" s="46"/>
      <c r="E136" s="46"/>
      <c r="F136" s="4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6"/>
      <c r="B137" s="46"/>
      <c r="C137" s="46"/>
      <c r="D137" s="46"/>
      <c r="E137" s="46"/>
      <c r="F137" s="4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6"/>
      <c r="B138" s="46"/>
      <c r="C138" s="46"/>
      <c r="D138" s="46"/>
      <c r="E138" s="46"/>
      <c r="F138" s="4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6"/>
      <c r="B139" s="46"/>
      <c r="C139" s="46"/>
      <c r="D139" s="46"/>
      <c r="E139" s="46"/>
      <c r="F139" s="4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6"/>
      <c r="B140" s="46"/>
      <c r="C140" s="46"/>
      <c r="D140" s="46"/>
      <c r="E140" s="46"/>
      <c r="F140" s="4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6"/>
      <c r="B141" s="46"/>
      <c r="C141" s="46"/>
      <c r="D141" s="46"/>
      <c r="E141" s="46"/>
      <c r="F141" s="4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6"/>
      <c r="B142" s="46"/>
      <c r="C142" s="46"/>
      <c r="D142" s="46"/>
      <c r="E142" s="46"/>
      <c r="F142" s="4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6"/>
      <c r="B143" s="46"/>
      <c r="C143" s="46"/>
      <c r="D143" s="46"/>
      <c r="E143" s="46"/>
      <c r="F143" s="4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6"/>
      <c r="B144" s="46"/>
      <c r="C144" s="46"/>
      <c r="D144" s="46"/>
      <c r="E144" s="46"/>
      <c r="F144" s="4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6"/>
      <c r="B145" s="46"/>
      <c r="C145" s="46"/>
      <c r="D145" s="46"/>
      <c r="E145" s="46"/>
      <c r="F145" s="4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6"/>
      <c r="B146" s="46"/>
      <c r="C146" s="46"/>
      <c r="D146" s="46"/>
      <c r="E146" s="46"/>
      <c r="F146" s="4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6"/>
      <c r="B147" s="46"/>
      <c r="C147" s="46"/>
      <c r="D147" s="46"/>
      <c r="E147" s="46"/>
      <c r="F147" s="4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6"/>
      <c r="B148" s="46"/>
      <c r="C148" s="46"/>
      <c r="D148" s="46"/>
      <c r="E148" s="46"/>
      <c r="F148" s="4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6"/>
      <c r="B149" s="46"/>
      <c r="C149" s="46"/>
      <c r="D149" s="46"/>
      <c r="E149" s="46"/>
      <c r="F149" s="4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6"/>
      <c r="B150" s="46"/>
      <c r="C150" s="46"/>
      <c r="D150" s="46"/>
      <c r="E150" s="46"/>
      <c r="F150" s="4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90:E90"/>
    <mergeCell ref="A105:E105"/>
    <mergeCell ref="A4:F4"/>
    <mergeCell ref="A19:E19"/>
    <mergeCell ref="A27:C27"/>
    <mergeCell ref="A21:B21"/>
    <mergeCell ref="A25:B25"/>
    <mergeCell ref="A36:B36"/>
    <mergeCell ref="A1:F1"/>
    <mergeCell ref="A40:B40"/>
    <mergeCell ref="A42:C42"/>
    <mergeCell ref="A57:E57"/>
    <mergeCell ref="A71:E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topLeftCell="A71" zoomScale="136" zoomScaleNormal="136" workbookViewId="0">
      <selection activeCell="A87" sqref="A87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159" t="s">
        <v>197</v>
      </c>
      <c r="B1" s="159"/>
      <c r="C1" s="159"/>
      <c r="D1" s="159"/>
      <c r="E1" s="159"/>
      <c r="F1" s="159"/>
      <c r="G1" s="159"/>
      <c r="H1" s="159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50" t="s">
        <v>119</v>
      </c>
      <c r="B7" s="150"/>
      <c r="C7" s="150"/>
      <c r="D7" s="150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69" t="s">
        <v>136</v>
      </c>
      <c r="B21" s="68">
        <f>SUM(B9:B20)</f>
        <v>3000</v>
      </c>
      <c r="C21" s="68">
        <f>SUM(C9:C20)</f>
        <v>3000</v>
      </c>
      <c r="D21" s="68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271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+'[1]Modal Kerja'!$B$35</f>
        <v>645000</v>
      </c>
      <c r="D31" s="37"/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150" t="s">
        <v>144</v>
      </c>
      <c r="B33" s="150"/>
      <c r="C33" s="150"/>
      <c r="D33" s="150"/>
      <c r="E33" s="1"/>
      <c r="F33" s="1"/>
      <c r="G33" s="1"/>
      <c r="H33" s="1"/>
      <c r="I33" s="1"/>
      <c r="J33" s="1"/>
      <c r="K33" s="1"/>
      <c r="L33" s="1"/>
    </row>
    <row r="34" spans="1:12" ht="15.75">
      <c r="A34" s="171" t="s">
        <v>2</v>
      </c>
      <c r="B34" s="171"/>
      <c r="C34" s="171"/>
      <c r="D34" s="42" t="s">
        <v>146</v>
      </c>
      <c r="E34" s="1"/>
      <c r="F34" s="1" t="s">
        <v>188</v>
      </c>
      <c r="G34" s="1"/>
      <c r="H34" s="1"/>
      <c r="I34" s="1"/>
      <c r="J34" s="1"/>
      <c r="K34" s="1"/>
      <c r="L34" s="1"/>
    </row>
    <row r="35" spans="1:12" ht="15.75">
      <c r="A35" s="1" t="s">
        <v>145</v>
      </c>
      <c r="B35" s="6">
        <f>+C21</f>
        <v>3000</v>
      </c>
      <c r="C35" s="3">
        <f>+C30</f>
        <v>1000000</v>
      </c>
      <c r="D35" s="70">
        <f>+B35*C35</f>
        <v>3000000000</v>
      </c>
      <c r="E35" s="1"/>
      <c r="F35" s="1" t="s">
        <v>187</v>
      </c>
      <c r="G35" s="6">
        <v>1125000</v>
      </c>
      <c r="H35" s="1"/>
      <c r="I35" s="1"/>
      <c r="J35" s="1"/>
      <c r="K35" s="1"/>
      <c r="L35" s="1"/>
    </row>
    <row r="36" spans="1:12" ht="16.5" thickBot="1">
      <c r="A36" s="1" t="s">
        <v>147</v>
      </c>
      <c r="B36" s="3">
        <f>+C29</f>
        <v>3000</v>
      </c>
      <c r="C36" s="3">
        <f>+C31</f>
        <v>645000</v>
      </c>
      <c r="D36" s="71">
        <f>+B36*C36</f>
        <v>1935000000</v>
      </c>
      <c r="E36" s="1"/>
      <c r="F36" s="1" t="s">
        <v>189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158" t="s">
        <v>148</v>
      </c>
      <c r="B37" s="158"/>
      <c r="C37" s="158"/>
      <c r="D37" s="70">
        <f>+D35-D36</f>
        <v>1065000000</v>
      </c>
      <c r="E37" s="1"/>
      <c r="F37" s="1" t="s">
        <v>190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149</v>
      </c>
      <c r="B38" s="1"/>
      <c r="C38" s="1"/>
      <c r="D38" s="1"/>
      <c r="E38" s="1"/>
      <c r="F38" s="1" t="s">
        <v>191</v>
      </c>
      <c r="G38" s="3">
        <f>SUM(G35:G37)</f>
        <v>28125000</v>
      </c>
      <c r="H38" s="1"/>
      <c r="I38" s="1"/>
      <c r="J38" s="1"/>
      <c r="K38" s="1"/>
      <c r="L38" s="1"/>
    </row>
    <row r="39" spans="1:12" ht="15.75">
      <c r="A39" s="40" t="s">
        <v>183</v>
      </c>
      <c r="B39" s="72" t="s">
        <v>120</v>
      </c>
      <c r="C39" s="72" t="s">
        <v>193</v>
      </c>
      <c r="D39" s="43"/>
      <c r="E39" s="1"/>
      <c r="F39" s="1" t="s">
        <v>192</v>
      </c>
      <c r="G39" s="6">
        <f>+G38*12</f>
        <v>337500000</v>
      </c>
      <c r="H39" s="1"/>
      <c r="I39" s="1"/>
      <c r="J39" s="1"/>
      <c r="K39" s="1"/>
      <c r="L39" s="1"/>
    </row>
    <row r="40" spans="1:12" ht="15.75">
      <c r="A40" s="4" t="s">
        <v>180</v>
      </c>
      <c r="B40" s="73">
        <f>+G35</f>
        <v>1125000</v>
      </c>
      <c r="C40" s="73">
        <f>+B40*12</f>
        <v>13500000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181</v>
      </c>
      <c r="B41" s="73">
        <f>+G36</f>
        <v>3750000</v>
      </c>
      <c r="C41" s="73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182</v>
      </c>
      <c r="B42" s="73">
        <f>+G37</f>
        <v>23250000</v>
      </c>
      <c r="C42" s="73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158" t="s">
        <v>194</v>
      </c>
      <c r="B43" s="158"/>
      <c r="C43" s="43"/>
      <c r="D43" s="70">
        <f>SUM(C40:C42)</f>
        <v>337500000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184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151</v>
      </c>
      <c r="B45" s="74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153</v>
      </c>
      <c r="B46" s="74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152</v>
      </c>
      <c r="B47" s="74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154</v>
      </c>
      <c r="B48" s="74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158" t="s">
        <v>195</v>
      </c>
      <c r="B49" s="158"/>
      <c r="C49" s="1"/>
      <c r="D49" s="77">
        <f>SUM(B45:B48)</f>
        <v>105328571.42857143</v>
      </c>
      <c r="E49" s="1"/>
      <c r="F49" s="3"/>
      <c r="G49" s="1"/>
      <c r="H49" s="1"/>
      <c r="I49" s="1"/>
      <c r="J49" s="1"/>
      <c r="K49" s="1"/>
      <c r="L49" s="1"/>
    </row>
    <row r="50" spans="1:12" ht="16.5" thickTop="1">
      <c r="A50" s="158" t="s">
        <v>150</v>
      </c>
      <c r="B50" s="158"/>
      <c r="C50" s="158"/>
      <c r="D50" s="76">
        <f>+D37-D43-D49</f>
        <v>622171428.57142854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155</v>
      </c>
      <c r="B52" s="74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164</v>
      </c>
      <c r="B53" s="74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58" t="s">
        <v>156</v>
      </c>
      <c r="B54" s="158"/>
      <c r="C54" s="1"/>
      <c r="D54" s="75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158" t="s">
        <v>157</v>
      </c>
      <c r="B55" s="158"/>
      <c r="C55" s="158"/>
      <c r="D55" s="74">
        <f>+D50-D54</f>
        <v>586261428.57142854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186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158</v>
      </c>
      <c r="B57" s="1"/>
      <c r="C57" s="73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159</v>
      </c>
      <c r="B58" s="1"/>
      <c r="C58" s="73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160</v>
      </c>
      <c r="B59" s="1"/>
      <c r="C59" s="73">
        <f>+F59*G59</f>
        <v>62500000</v>
      </c>
      <c r="D59" s="1"/>
      <c r="E59" s="1"/>
      <c r="F59" s="6">
        <v>250000000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161</v>
      </c>
      <c r="B60" s="1"/>
      <c r="C60" s="77">
        <f>+F60*G60</f>
        <v>25878428.57142856</v>
      </c>
      <c r="D60" s="1"/>
      <c r="E60" s="1"/>
      <c r="F60" s="78">
        <f>+D55-500000000</f>
        <v>86261428.571428537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158" t="s">
        <v>162</v>
      </c>
      <c r="B61" s="158"/>
      <c r="C61" s="1"/>
      <c r="D61" s="71">
        <f>SUM(C57:C60)</f>
        <v>120878428.57142857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158" t="s">
        <v>163</v>
      </c>
      <c r="B62" s="158"/>
      <c r="C62" s="158"/>
      <c r="D62" s="79">
        <f>+D55-D61</f>
        <v>465383000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167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168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169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170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146" t="s">
        <v>179</v>
      </c>
      <c r="B71" s="146"/>
      <c r="C71" s="146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171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172</v>
      </c>
      <c r="B73" s="70">
        <f>D62</f>
        <v>465383000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173</v>
      </c>
      <c r="B74" s="70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176</v>
      </c>
      <c r="C75" s="80">
        <f>+B73/B74</f>
        <v>0.15512766666666666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174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172</v>
      </c>
      <c r="B77" s="70">
        <f>+D62</f>
        <v>465383000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175</v>
      </c>
      <c r="B78" s="70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177</v>
      </c>
      <c r="C79" s="80">
        <f>+B77/B78</f>
        <v>0.34358287190845332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170" t="s">
        <v>178</v>
      </c>
      <c r="B81" s="170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273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274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166" t="s">
        <v>196</v>
      </c>
      <c r="B1" s="166"/>
      <c r="C1" s="166"/>
      <c r="D1" s="166"/>
      <c r="E1" s="166"/>
      <c r="F1" s="16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7.25">
      <c r="A2" s="46" t="s">
        <v>198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17.25">
      <c r="A3" s="46" t="s">
        <v>199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7.25">
      <c r="A4" s="46" t="s">
        <v>200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7.25">
      <c r="A5" s="46" t="s">
        <v>201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ht="17.25">
      <c r="A6" s="46" t="s">
        <v>202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17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7.25">
      <c r="A8" s="81" t="s">
        <v>203</v>
      </c>
      <c r="B8" s="8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7.25">
      <c r="A9" s="46" t="s">
        <v>204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ht="17.25">
      <c r="A10" s="83" t="s">
        <v>2</v>
      </c>
      <c r="B10" s="83" t="s">
        <v>55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17.25">
      <c r="A11" s="46" t="s">
        <v>205</v>
      </c>
      <c r="B11" s="5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17.25">
      <c r="A12" s="46" t="s">
        <v>206</v>
      </c>
      <c r="B12" s="5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ht="17.25">
      <c r="A13" s="46" t="s">
        <v>207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9" ht="17.25">
      <c r="A14" s="46" t="s">
        <v>208</v>
      </c>
      <c r="B14" s="58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7.25">
      <c r="A15" s="46" t="s">
        <v>210</v>
      </c>
      <c r="B15" s="8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17.25">
      <c r="A16" s="46" t="s">
        <v>209</v>
      </c>
      <c r="B16" s="8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7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17.25">
      <c r="A18" s="51" t="s">
        <v>211</v>
      </c>
      <c r="B18" s="51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7.25">
      <c r="A19" s="52" t="s">
        <v>215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7.25">
      <c r="A20" s="46" t="s">
        <v>212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17.25">
      <c r="A21" s="46" t="s">
        <v>213</v>
      </c>
      <c r="B21" s="46"/>
      <c r="C21" s="46"/>
      <c r="D21" s="8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17.25">
      <c r="A22" s="46"/>
      <c r="B22" s="46"/>
      <c r="C22" s="46"/>
      <c r="D22" s="8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ht="17.25">
      <c r="A23" s="46"/>
      <c r="B23" s="46"/>
      <c r="C23" s="46"/>
      <c r="D23" s="8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ht="17.25">
      <c r="A24" s="83" t="s">
        <v>214</v>
      </c>
      <c r="B24" s="90"/>
      <c r="C24" s="51" t="s">
        <v>11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ht="17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7.25">
      <c r="A26" s="51" t="s">
        <v>216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ht="17.25">
      <c r="A27" s="46" t="s">
        <v>217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ht="17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ht="17.25">
      <c r="A29" s="82" t="s">
        <v>218</v>
      </c>
      <c r="B29" s="84"/>
      <c r="C29" s="88">
        <f>+B12*B24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ht="17.25">
      <c r="A30" s="83" t="s">
        <v>218</v>
      </c>
      <c r="B30" s="89"/>
      <c r="C30" s="86" t="s">
        <v>219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17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17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7.25">
      <c r="A33" s="86" t="s">
        <v>220</v>
      </c>
      <c r="B33" s="46"/>
      <c r="C33" s="46"/>
      <c r="D33" s="46"/>
      <c r="E33" s="87" t="s">
        <v>222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ht="17.25">
      <c r="A34" s="46" t="s">
        <v>227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ht="17.25">
      <c r="A35" s="46" t="s">
        <v>228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ht="17.25">
      <c r="A36" s="172" t="s">
        <v>219</v>
      </c>
      <c r="B36" s="172"/>
      <c r="C36" s="46"/>
      <c r="D36" s="46"/>
      <c r="E36" s="87" t="s">
        <v>223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17.25">
      <c r="A37" s="92"/>
      <c r="B37" s="9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7.25">
      <c r="A38" s="92"/>
      <c r="B38" s="9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ht="17.25">
      <c r="A39" s="92"/>
      <c r="B39" s="9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ht="17.25">
      <c r="A40" s="98">
        <f>+B30</f>
        <v>0</v>
      </c>
      <c r="B40" s="9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ht="17.25">
      <c r="A41" s="92"/>
      <c r="B41" s="91"/>
      <c r="C41" s="95" t="s">
        <v>224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ht="17.25">
      <c r="A42" s="92"/>
      <c r="B42" s="91"/>
      <c r="C42" s="9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ht="17.25">
      <c r="A43" s="92"/>
      <c r="B43" s="9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ht="17.25">
      <c r="A44" s="99"/>
      <c r="B44" s="9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ht="17.25">
      <c r="A45" s="92"/>
      <c r="B45" s="9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18" thickBot="1">
      <c r="A46" s="92"/>
      <c r="B46" s="97"/>
      <c r="C46" s="93"/>
      <c r="D46" s="93"/>
      <c r="E46" s="46" t="s">
        <v>221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ht="17.25">
      <c r="A47" s="46"/>
      <c r="B47" s="173"/>
      <c r="C47" s="173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7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ht="17.25">
      <c r="A49" s="51" t="s">
        <v>225</v>
      </c>
      <c r="B49" s="51"/>
      <c r="C49" s="51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ht="17.25">
      <c r="A50" s="46" t="s">
        <v>229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ht="17.25">
      <c r="A51" s="46" t="s">
        <v>226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ht="17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ht="17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ht="17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ht="17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ht="17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ht="17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ht="17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ht="17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ht="17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ht="17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ht="17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ht="17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ht="17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ht="17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19" ht="17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19" ht="17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19" ht="17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ht="17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19" ht="17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ht="17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ht="17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ht="17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ht="17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ht="17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ht="17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ht="17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ht="17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ht="17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ht="17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ht="17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ht="17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ht="17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ht="17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ht="17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ht="17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ht="17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ht="17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ht="17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17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ht="17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ht="17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ht="17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ht="17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ht="17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19" ht="17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ht="17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ht="17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ht="17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17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ht="17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ht="17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19" ht="17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19" ht="17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ht="17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ht="17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19" ht="17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19" ht="17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ht="17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19" ht="17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19" ht="17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19" ht="17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ht="17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ht="17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ht="17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ht="17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19" ht="17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19" ht="17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19" ht="17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19" ht="17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ht="17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ht="17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ht="17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ht="17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ht="17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ht="17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19" ht="17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19" ht="17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ht="17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ht="17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ht="17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ht="17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abSelected="1" zoomScale="130" zoomScaleNormal="130" workbookViewId="0">
      <selection sqref="A1:E1"/>
    </sheetView>
  </sheetViews>
  <sheetFormatPr defaultRowHeight="15"/>
  <cols>
    <col min="1" max="1" width="32.42578125" customWidth="1"/>
    <col min="2" max="2" width="16.7109375" customWidth="1"/>
    <col min="3" max="3" width="20.140625" customWidth="1"/>
    <col min="4" max="4" width="29" customWidth="1"/>
    <col min="5" max="5" width="22.5703125" customWidth="1"/>
    <col min="6" max="6" width="16.140625" customWidth="1"/>
  </cols>
  <sheetData>
    <row r="1" spans="1:17" ht="21">
      <c r="A1" s="178" t="s">
        <v>277</v>
      </c>
      <c r="B1" s="178"/>
      <c r="C1" s="178"/>
      <c r="D1" s="178"/>
      <c r="E1" s="17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77" customFormat="1" ht="21">
      <c r="A2" s="176"/>
      <c r="B2" s="176"/>
      <c r="C2" s="17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.75">
      <c r="A3" s="100" t="s">
        <v>230</v>
      </c>
      <c r="B3" s="100"/>
      <c r="C3" s="10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1" t="s">
        <v>231</v>
      </c>
      <c r="B4" s="1"/>
      <c r="C4" s="103">
        <f>+'[2]jawaban kasus4'!$D$62</f>
        <v>465383000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232</v>
      </c>
      <c r="B5" s="1"/>
      <c r="C5" s="6">
        <f>+'jawaban kasus3'!D30</f>
        <v>15243224.338846717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233</v>
      </c>
      <c r="B6" s="1"/>
      <c r="C6" s="6">
        <f>+'jawaban kasus3'!D45</f>
        <v>19630266.518412702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00" t="s">
        <v>234</v>
      </c>
      <c r="B7" s="100"/>
      <c r="C7" s="101">
        <f>+C4-C5-C6</f>
        <v>430509509.14274055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 t="s">
        <v>244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50" t="s">
        <v>235</v>
      </c>
      <c r="B10" s="150"/>
      <c r="C10" s="150"/>
      <c r="D10" s="150"/>
      <c r="E10" s="15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50" t="s">
        <v>243</v>
      </c>
      <c r="B11" s="150"/>
      <c r="C11" s="150"/>
      <c r="D11" s="150"/>
      <c r="E11" s="15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177" customFormat="1" ht="15.75">
      <c r="A12" s="179"/>
      <c r="B12" s="179"/>
      <c r="C12" s="179"/>
      <c r="D12" s="179"/>
      <c r="E12" s="179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15.75">
      <c r="A13" s="184" t="s">
        <v>236</v>
      </c>
      <c r="B13" s="180"/>
      <c r="C13" s="180"/>
      <c r="D13" s="180" t="s">
        <v>237</v>
      </c>
      <c r="E13" s="18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96" t="s">
        <v>30</v>
      </c>
      <c r="B14" s="203"/>
      <c r="C14" s="197"/>
      <c r="D14" s="196" t="s">
        <v>42</v>
      </c>
      <c r="E14" s="19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85" t="s">
        <v>4</v>
      </c>
      <c r="B15" s="181"/>
      <c r="C15" s="193">
        <f>+C42</f>
        <v>645338080.57131195</v>
      </c>
      <c r="D15" s="181" t="s">
        <v>238</v>
      </c>
      <c r="E15" s="204">
        <f>+'jawaban kasus3'!F30</f>
        <v>64256775.661153287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81"/>
      <c r="C16" s="19"/>
      <c r="D16" s="181" t="s">
        <v>239</v>
      </c>
      <c r="E16" s="205">
        <f>+'jawaban kasus3'!F45</f>
        <v>115369733.48158729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200" t="s">
        <v>60</v>
      </c>
      <c r="B17" s="201"/>
      <c r="C17" s="202"/>
      <c r="D17" s="181"/>
      <c r="E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86" t="s">
        <v>33</v>
      </c>
      <c r="B18" s="182"/>
      <c r="C18" s="188">
        <f>+'jawaban kasus2'!D38</f>
        <v>600000000</v>
      </c>
      <c r="D18" s="198" t="s">
        <v>278</v>
      </c>
      <c r="E18" s="19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240</v>
      </c>
      <c r="B19" s="183">
        <f>+'jawaban kasus2'!D39</f>
        <v>427500000</v>
      </c>
      <c r="C19" s="19"/>
      <c r="D19" s="195" t="s">
        <v>251</v>
      </c>
      <c r="E19" s="188">
        <f>+'jawaban kasus2'!F39</f>
        <v>1140000000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242</v>
      </c>
      <c r="B20" s="11">
        <f>+'jawaban kasus3'!C74*-1</f>
        <v>-25650000</v>
      </c>
      <c r="C20" s="19"/>
      <c r="D20" s="181" t="s">
        <v>275</v>
      </c>
      <c r="E20" s="193">
        <f>+C4</f>
        <v>465383000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135" t="s">
        <v>40</v>
      </c>
      <c r="B21" s="11"/>
      <c r="C21" s="188">
        <f>+B19+B20</f>
        <v>401850000</v>
      </c>
      <c r="D21" s="181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83">
        <f>+'jawaban kasus2'!D41</f>
        <v>180000000</v>
      </c>
      <c r="C22" s="19"/>
      <c r="D22" s="181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245</v>
      </c>
      <c r="B23" s="11">
        <f>+'jawaban kasus3'!C60*-1</f>
        <v>-72000000</v>
      </c>
      <c r="C23" s="19"/>
      <c r="D23" s="181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135" t="s">
        <v>246</v>
      </c>
      <c r="B24" s="182"/>
      <c r="C24" s="188">
        <f>+B22+B23</f>
        <v>108000000</v>
      </c>
      <c r="D24" s="181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83">
        <f>+'jawaban kasus2'!D42</f>
        <v>7500000</v>
      </c>
      <c r="C25" s="19"/>
      <c r="D25" s="181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247</v>
      </c>
      <c r="B26" s="11">
        <f>+'jawaban kasus3'!C108*-1</f>
        <v>-1250000</v>
      </c>
      <c r="C26" s="19"/>
      <c r="D26" s="181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135" t="s">
        <v>248</v>
      </c>
      <c r="B27" s="182"/>
      <c r="C27" s="188">
        <f>+B25+B26</f>
        <v>6250000</v>
      </c>
      <c r="D27" s="181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241</v>
      </c>
      <c r="B28" s="183">
        <f>+'jawaban kasus2'!D40</f>
        <v>30000000</v>
      </c>
      <c r="C28" s="19"/>
      <c r="D28" s="181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249</v>
      </c>
      <c r="B29" s="14">
        <f>+'jawaban kasus3'!C93*-1</f>
        <v>-6428571.4285714282</v>
      </c>
      <c r="C29" s="19"/>
      <c r="D29" s="181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135" t="s">
        <v>250</v>
      </c>
      <c r="B30" s="181"/>
      <c r="C30" s="188">
        <f>+B28+B29</f>
        <v>23571428.571428571</v>
      </c>
      <c r="D30" s="181"/>
      <c r="E30" s="19"/>
      <c r="F30" s="1" t="s">
        <v>261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189" t="s">
        <v>262</v>
      </c>
      <c r="B31" s="190"/>
      <c r="C31" s="194">
        <f>SUM(C15:C30)</f>
        <v>1785009509.1427405</v>
      </c>
      <c r="D31" s="191" t="s">
        <v>263</v>
      </c>
      <c r="E31" s="192">
        <f>SUM(E15:E30)</f>
        <v>1785009509.1427405</v>
      </c>
      <c r="F31" s="3">
        <f>+C31-E31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02" t="s">
        <v>264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252</v>
      </c>
      <c r="B34" s="3"/>
      <c r="C34" s="3">
        <f>+'jawaban kasus2'!D36</f>
        <v>109500000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253</v>
      </c>
      <c r="B35" s="3"/>
      <c r="C35" s="3">
        <f>+C7</f>
        <v>430509509.14274055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259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257</v>
      </c>
      <c r="B37" s="6">
        <f>+'jawaban kasus3'!C74</f>
        <v>25650000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254</v>
      </c>
      <c r="B38" s="6">
        <f>+'jawaban kasus3'!C60</f>
        <v>72000000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255</v>
      </c>
      <c r="B39" s="6">
        <f>+'jawaban kasus3'!C108</f>
        <v>1250000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256</v>
      </c>
      <c r="B40" s="6">
        <f>+'jawaban kasus3'!C93</f>
        <v>6428571.4285714282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2" t="s">
        <v>260</v>
      </c>
      <c r="B41" s="3"/>
      <c r="C41" s="3">
        <f>SUM(B37:B40)</f>
        <v>105328571.42857143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2" t="s">
        <v>258</v>
      </c>
      <c r="B42" s="42"/>
      <c r="C42" s="104">
        <f>SUM(C34:C41)</f>
        <v>645338080.57131195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</sheetData>
  <mergeCells count="8">
    <mergeCell ref="A1:E1"/>
    <mergeCell ref="A14:C14"/>
    <mergeCell ref="D14:E14"/>
    <mergeCell ref="A10:E10"/>
    <mergeCell ref="A11:E11"/>
    <mergeCell ref="A13:C13"/>
    <mergeCell ref="D13:E13"/>
    <mergeCell ref="A31:B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topLeftCell="A2" zoomScale="112" zoomScaleNormal="112" workbookViewId="0">
      <selection activeCell="A2" sqref="A2:H19"/>
    </sheetView>
  </sheetViews>
  <sheetFormatPr defaultRowHeight="15"/>
  <cols>
    <col min="1" max="1" width="18.42578125" customWidth="1"/>
    <col min="2" max="2" width="17.7109375" customWidth="1"/>
    <col min="3" max="3" width="16.28515625" customWidth="1"/>
    <col min="4" max="4" width="13" customWidth="1"/>
    <col min="5" max="5" width="28" customWidth="1"/>
    <col min="6" max="6" width="15.85546875" customWidth="1"/>
    <col min="7" max="7" width="15.7109375" customWidth="1"/>
    <col min="8" max="8" width="13.5703125" customWidth="1"/>
  </cols>
  <sheetData>
    <row r="2" spans="1:8" ht="19.5" customHeight="1">
      <c r="A2" s="107" t="s">
        <v>279</v>
      </c>
      <c r="B2" s="107"/>
      <c r="C2" s="105"/>
      <c r="D2" s="105"/>
      <c r="E2" s="105"/>
      <c r="F2" s="105"/>
      <c r="G2" s="105"/>
      <c r="H2" s="105"/>
    </row>
    <row r="3" spans="1:8" ht="19.5" customHeight="1">
      <c r="A3" s="174" t="s">
        <v>267</v>
      </c>
      <c r="B3" s="174"/>
      <c r="C3" s="174"/>
      <c r="D3" s="174"/>
      <c r="E3" s="174"/>
      <c r="F3" s="174"/>
      <c r="G3" s="174"/>
      <c r="H3" s="174"/>
    </row>
    <row r="4" spans="1:8" ht="19.5" customHeight="1">
      <c r="A4" s="175" t="s">
        <v>268</v>
      </c>
      <c r="B4" s="175"/>
      <c r="C4" s="175"/>
      <c r="D4" s="175"/>
      <c r="E4" s="175"/>
      <c r="F4" s="175"/>
      <c r="G4" s="175"/>
      <c r="H4" s="175"/>
    </row>
    <row r="5" spans="1:8" ht="15.75" thickBot="1">
      <c r="A5" s="122" t="s">
        <v>31</v>
      </c>
      <c r="B5" s="123">
        <v>44198</v>
      </c>
      <c r="C5" s="124">
        <v>44561</v>
      </c>
      <c r="D5" s="125" t="s">
        <v>265</v>
      </c>
      <c r="E5" s="126" t="s">
        <v>29</v>
      </c>
      <c r="F5" s="123">
        <v>44198</v>
      </c>
      <c r="G5" s="124">
        <v>44561</v>
      </c>
      <c r="H5" s="122" t="s">
        <v>265</v>
      </c>
    </row>
    <row r="6" spans="1:8" ht="15.75" thickTop="1">
      <c r="A6" s="108" t="s">
        <v>30</v>
      </c>
      <c r="B6" s="106">
        <f>+'jawaban kasus2'!D36</f>
        <v>109500000</v>
      </c>
      <c r="C6" s="113">
        <f>+'jawaban kasus 6'!C15</f>
        <v>645338080.57131195</v>
      </c>
      <c r="D6" s="120">
        <f>+(C6-B6)/B6</f>
        <v>4.8934984527060452</v>
      </c>
      <c r="E6" s="111" t="str">
        <f>+'jawaban kasus2'!E36</f>
        <v>- Hutang Modal Kerja</v>
      </c>
      <c r="F6" s="106">
        <f>+'jawaban kasus2'!F36</f>
        <v>79500000</v>
      </c>
      <c r="G6" s="113">
        <f>+'jawaban kasus 6'!E15</f>
        <v>64256775.661153287</v>
      </c>
      <c r="H6" s="114">
        <f>+(G6-F6)/F6</f>
        <v>-0.19173867092888947</v>
      </c>
    </row>
    <row r="7" spans="1:8">
      <c r="A7" s="108"/>
      <c r="B7" s="105"/>
      <c r="C7" s="108"/>
      <c r="D7" s="120"/>
      <c r="E7" s="111" t="str">
        <f>+'jawaban kasus2'!E37</f>
        <v>- Hutang Kendaraan</v>
      </c>
      <c r="F7" s="106">
        <f>+'jawaban kasus2'!F37</f>
        <v>135000000</v>
      </c>
      <c r="G7" s="113">
        <f>+'jawaban kasus 6'!E16</f>
        <v>115369733.48158729</v>
      </c>
      <c r="H7" s="114">
        <f t="shared" ref="H7:H14" si="0">+(G7-F7)/F7</f>
        <v>-0.14540938161787192</v>
      </c>
    </row>
    <row r="8" spans="1:8">
      <c r="A8" s="108" t="s">
        <v>60</v>
      </c>
      <c r="B8" s="105"/>
      <c r="C8" s="108"/>
      <c r="D8" s="120"/>
      <c r="E8" s="112"/>
      <c r="F8" s="105"/>
      <c r="G8" s="108"/>
      <c r="H8" s="114"/>
    </row>
    <row r="9" spans="1:8" ht="15.75">
      <c r="A9" s="109" t="s">
        <v>51</v>
      </c>
      <c r="B9" s="106">
        <f>+'jawaban kasus2'!D38</f>
        <v>600000000</v>
      </c>
      <c r="C9" s="113">
        <f>+'jawaban kasus 6'!C18</f>
        <v>600000000</v>
      </c>
      <c r="D9" s="120">
        <f t="shared" ref="D9:D14" si="1">+(C9-B9)/B9</f>
        <v>0</v>
      </c>
      <c r="E9" s="111" t="str">
        <f>+'jawaban kasus2'!E39</f>
        <v>Modal Sendiri</v>
      </c>
      <c r="F9" s="106">
        <f>+'jawaban kasus2'!F39</f>
        <v>1140000000</v>
      </c>
      <c r="G9" s="113">
        <f>+'jawaban kasus 6'!E19</f>
        <v>1140000000</v>
      </c>
      <c r="H9" s="114">
        <f t="shared" si="0"/>
        <v>0</v>
      </c>
    </row>
    <row r="10" spans="1:8" ht="15.75">
      <c r="A10" s="110" t="s">
        <v>266</v>
      </c>
      <c r="B10" s="106">
        <f>+'jawaban kasus2'!D39</f>
        <v>427500000</v>
      </c>
      <c r="C10" s="113">
        <f>+'jawaban kasus 6'!C21</f>
        <v>401850000</v>
      </c>
      <c r="D10" s="120">
        <f t="shared" si="1"/>
        <v>-0.06</v>
      </c>
      <c r="E10" s="112" t="s">
        <v>269</v>
      </c>
      <c r="F10" s="105"/>
      <c r="G10" s="113">
        <f>+'jawaban kasus 6'!E20</f>
        <v>465383000</v>
      </c>
      <c r="H10" s="114"/>
    </row>
    <row r="11" spans="1:8" ht="15.75">
      <c r="A11" s="110" t="s">
        <v>35</v>
      </c>
      <c r="B11" s="106">
        <f>+'jawaban kasus2'!D40</f>
        <v>30000000</v>
      </c>
      <c r="C11" s="113">
        <f>+'jawaban kasus 6'!C30</f>
        <v>23571428.571428571</v>
      </c>
      <c r="D11" s="120">
        <f t="shared" si="1"/>
        <v>-0.2142857142857143</v>
      </c>
      <c r="E11" s="112"/>
      <c r="F11" s="105"/>
      <c r="G11" s="108"/>
      <c r="H11" s="114"/>
    </row>
    <row r="12" spans="1:8" ht="15.75">
      <c r="A12" s="110" t="s">
        <v>36</v>
      </c>
      <c r="B12" s="106">
        <f>+'jawaban kasus2'!D41</f>
        <v>180000000</v>
      </c>
      <c r="C12" s="113">
        <f>+'jawaban kasus 6'!C24</f>
        <v>108000000</v>
      </c>
      <c r="D12" s="120">
        <f t="shared" si="1"/>
        <v>-0.4</v>
      </c>
      <c r="E12" s="112"/>
      <c r="F12" s="105"/>
      <c r="G12" s="108"/>
      <c r="H12" s="114"/>
    </row>
    <row r="13" spans="1:8" ht="16.5" thickBot="1">
      <c r="A13" s="127" t="s">
        <v>37</v>
      </c>
      <c r="B13" s="128">
        <f>+'jawaban kasus2'!D42</f>
        <v>7500000</v>
      </c>
      <c r="C13" s="129">
        <f>+'jawaban kasus 6'!C27</f>
        <v>6250000</v>
      </c>
      <c r="D13" s="130">
        <f t="shared" si="1"/>
        <v>-0.16666666666666666</v>
      </c>
      <c r="E13" s="131"/>
      <c r="F13" s="132"/>
      <c r="G13" s="133"/>
      <c r="H13" s="134"/>
    </row>
    <row r="14" spans="1:8" ht="16.5" thickTop="1">
      <c r="A14" s="115" t="s">
        <v>262</v>
      </c>
      <c r="B14" s="116">
        <f>SUM(B6:B13)</f>
        <v>1354500000</v>
      </c>
      <c r="C14" s="117">
        <f t="shared" ref="C14:G14" si="2">SUM(C6:C13)</f>
        <v>1785009509.1427405</v>
      </c>
      <c r="D14" s="121">
        <f t="shared" si="1"/>
        <v>0.31783647777241825</v>
      </c>
      <c r="E14" s="119">
        <f t="shared" si="2"/>
        <v>0</v>
      </c>
      <c r="F14" s="116">
        <f t="shared" si="2"/>
        <v>1354500000</v>
      </c>
      <c r="G14" s="117">
        <f t="shared" si="2"/>
        <v>1785009509.1427405</v>
      </c>
      <c r="H14" s="118">
        <f t="shared" si="0"/>
        <v>0.31783647777241825</v>
      </c>
    </row>
    <row r="15" spans="1:8">
      <c r="A15" s="105"/>
      <c r="B15" s="105"/>
      <c r="C15" s="105"/>
      <c r="D15" s="105"/>
      <c r="E15" s="105"/>
      <c r="F15" s="105"/>
      <c r="G15" s="105"/>
      <c r="H15" s="105"/>
    </row>
    <row r="16" spans="1:8">
      <c r="A16" s="105"/>
      <c r="B16" s="105"/>
      <c r="C16" s="105"/>
      <c r="D16" s="105"/>
      <c r="E16" s="105"/>
      <c r="F16" s="105"/>
      <c r="G16" s="105"/>
      <c r="H16" s="105"/>
    </row>
    <row r="17" spans="1:8">
      <c r="A17" s="206" t="s">
        <v>272</v>
      </c>
      <c r="B17" s="105"/>
      <c r="C17" s="105"/>
      <c r="D17" s="105"/>
      <c r="E17" s="105"/>
      <c r="F17" s="105"/>
      <c r="G17" s="105"/>
      <c r="H17" s="105"/>
    </row>
    <row r="18" spans="1:8">
      <c r="A18" s="105" t="s">
        <v>276</v>
      </c>
      <c r="B18" s="105"/>
      <c r="C18" s="105"/>
      <c r="D18" s="105"/>
      <c r="E18" s="105"/>
      <c r="F18" s="105"/>
      <c r="G18" s="105"/>
      <c r="H18" s="105"/>
    </row>
    <row r="19" spans="1:8">
      <c r="A19" s="105" t="s">
        <v>270</v>
      </c>
      <c r="B19" s="105"/>
      <c r="C19" s="105"/>
      <c r="D19" s="105"/>
      <c r="E19" s="105"/>
      <c r="F19" s="105"/>
      <c r="G19" s="105"/>
      <c r="H19" s="105"/>
    </row>
  </sheetData>
  <mergeCells count="2"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166" zoomScaleNormal="166"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jawaban kasus2</vt:lpstr>
      <vt:lpstr>jawaban kasus3</vt:lpstr>
      <vt:lpstr>jawaban kasus4</vt:lpstr>
      <vt:lpstr>soal bep</vt:lpstr>
      <vt:lpstr>jawaban kasus 6</vt:lpstr>
      <vt:lpstr>jwb kasus 6B</vt:lpstr>
      <vt:lpstr>soal kasus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2021-05-22T10:19:04Z</dcterms:modified>
</cp:coreProperties>
</file>