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-15" windowWidth="20400" windowHeight="8100" firstSheet="3" activeTab="7"/>
  </bookViews>
  <sheets>
    <sheet name="jawaban kasus2" sheetId="1" r:id="rId1"/>
    <sheet name="jawaban kasus3" sheetId="2" r:id="rId2"/>
    <sheet name="jawaban kasus4" sheetId="3" r:id="rId3"/>
    <sheet name="soal bep" sheetId="4" r:id="rId4"/>
    <sheet name="kasus 6" sheetId="5" r:id="rId5"/>
    <sheet name="neraca perbandingan kasus 6" sheetId="6" r:id="rId6"/>
    <sheet name="kasus 7" sheetId="7" r:id="rId7"/>
    <sheet name="JAWABAN KASUS 7" sheetId="8" r:id="rId8"/>
    <sheet name="jawaban kasus 8" sheetId="9" r:id="rId9"/>
  </sheets>
  <externalReferences>
    <externalReference r:id="rId10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8"/>
  <c r="I44"/>
  <c r="I43"/>
  <c r="D16" i="9" l="1"/>
  <c r="E16"/>
  <c r="F16" s="1"/>
  <c r="G16" s="1"/>
  <c r="C16"/>
  <c r="B16"/>
  <c r="C17"/>
  <c r="C14"/>
  <c r="D14"/>
  <c r="E14"/>
  <c r="F14"/>
  <c r="G14"/>
  <c r="B14"/>
  <c r="C13"/>
  <c r="D13"/>
  <c r="E13"/>
  <c r="F13"/>
  <c r="G13"/>
  <c r="B13"/>
  <c r="D11"/>
  <c r="E11" s="1"/>
  <c r="F11" s="1"/>
  <c r="G11" s="1"/>
  <c r="C11"/>
  <c r="B8"/>
  <c r="C8" s="1"/>
  <c r="D8" s="1"/>
  <c r="E8" s="1"/>
  <c r="F8" s="1"/>
  <c r="G8" s="1"/>
  <c r="B7"/>
  <c r="C7" s="1"/>
  <c r="D6"/>
  <c r="E6"/>
  <c r="F6" s="1"/>
  <c r="G6" s="1"/>
  <c r="C6"/>
  <c r="D5"/>
  <c r="E5" s="1"/>
  <c r="F5" s="1"/>
  <c r="G5" s="1"/>
  <c r="C5"/>
  <c r="C12" l="1"/>
  <c r="D7"/>
  <c r="B12"/>
  <c r="H45" i="8"/>
  <c r="H44"/>
  <c r="F44"/>
  <c r="G44"/>
  <c r="G40"/>
  <c r="G41"/>
  <c r="G42"/>
  <c r="G43"/>
  <c r="G39"/>
  <c r="E57"/>
  <c r="E58"/>
  <c r="F58" s="1"/>
  <c r="E59"/>
  <c r="E60"/>
  <c r="F60" s="1"/>
  <c r="E61"/>
  <c r="E56"/>
  <c r="F59"/>
  <c r="F61"/>
  <c r="F57"/>
  <c r="F56"/>
  <c r="D58"/>
  <c r="D59"/>
  <c r="D60"/>
  <c r="D61"/>
  <c r="D57"/>
  <c r="C58"/>
  <c r="C59"/>
  <c r="C60"/>
  <c r="C61"/>
  <c r="C57"/>
  <c r="D56"/>
  <c r="H41"/>
  <c r="H43"/>
  <c r="H39"/>
  <c r="H40"/>
  <c r="H42"/>
  <c r="F40"/>
  <c r="F41"/>
  <c r="F42"/>
  <c r="F43"/>
  <c r="F39"/>
  <c r="E40"/>
  <c r="E41"/>
  <c r="E42"/>
  <c r="E43"/>
  <c r="E39"/>
  <c r="D40"/>
  <c r="D41"/>
  <c r="D42"/>
  <c r="D43"/>
  <c r="D39"/>
  <c r="C40"/>
  <c r="C41"/>
  <c r="C42"/>
  <c r="C43"/>
  <c r="C39"/>
  <c r="B40"/>
  <c r="B41"/>
  <c r="B42"/>
  <c r="B43"/>
  <c r="B39"/>
  <c r="F16"/>
  <c r="F17" s="1"/>
  <c r="F18" s="1"/>
  <c r="F19" s="1"/>
  <c r="F15"/>
  <c r="F14"/>
  <c r="E16"/>
  <c r="E17"/>
  <c r="E18"/>
  <c r="E19"/>
  <c r="E15"/>
  <c r="D16"/>
  <c r="D17"/>
  <c r="D18"/>
  <c r="D19"/>
  <c r="D15"/>
  <c r="C15"/>
  <c r="C16"/>
  <c r="C17"/>
  <c r="C18"/>
  <c r="C19"/>
  <c r="E32"/>
  <c r="E33"/>
  <c r="E34" s="1"/>
  <c r="E35" s="1"/>
  <c r="E31"/>
  <c r="D33"/>
  <c r="D34" s="1"/>
  <c r="D35" s="1"/>
  <c r="D32"/>
  <c r="D31"/>
  <c r="C32"/>
  <c r="C33"/>
  <c r="C34"/>
  <c r="C35"/>
  <c r="C31"/>
  <c r="E30"/>
  <c r="B32"/>
  <c r="B33"/>
  <c r="B34" s="1"/>
  <c r="B35" s="1"/>
  <c r="B31"/>
  <c r="B25"/>
  <c r="B16"/>
  <c r="B17" s="1"/>
  <c r="B18" s="1"/>
  <c r="B19" s="1"/>
  <c r="B15"/>
  <c r="C34" i="5"/>
  <c r="B74" i="3"/>
  <c r="C59"/>
  <c r="C58"/>
  <c r="C57"/>
  <c r="D43"/>
  <c r="C42"/>
  <c r="C41"/>
  <c r="B42"/>
  <c r="B41"/>
  <c r="C40"/>
  <c r="B40"/>
  <c r="G39"/>
  <c r="G38"/>
  <c r="D37"/>
  <c r="D36"/>
  <c r="D35"/>
  <c r="C35"/>
  <c r="C31"/>
  <c r="C36" s="1"/>
  <c r="D9"/>
  <c r="D10" s="1"/>
  <c r="D11" s="1"/>
  <c r="D12" s="1"/>
  <c r="C21"/>
  <c r="B35" s="1"/>
  <c r="B21"/>
  <c r="B112" i="2"/>
  <c r="B113"/>
  <c r="D12" i="9" l="1"/>
  <c r="E7"/>
  <c r="F62" i="8"/>
  <c r="C29" i="3"/>
  <c r="B36" s="1"/>
  <c r="D13"/>
  <c r="D14" s="1"/>
  <c r="D15" s="1"/>
  <c r="D16" s="1"/>
  <c r="D17" s="1"/>
  <c r="D18" s="1"/>
  <c r="D19" s="1"/>
  <c r="D20" s="1"/>
  <c r="B101" i="2"/>
  <c r="B108"/>
  <c r="B109" s="1"/>
  <c r="B110" s="1"/>
  <c r="B111" s="1"/>
  <c r="B89"/>
  <c r="B86"/>
  <c r="B93"/>
  <c r="B94" s="1"/>
  <c r="B95" s="1"/>
  <c r="B96" s="1"/>
  <c r="B97" s="1"/>
  <c r="B98" s="1"/>
  <c r="B79"/>
  <c r="B80"/>
  <c r="B81" s="1"/>
  <c r="B82" s="1"/>
  <c r="B83" s="1"/>
  <c r="B75"/>
  <c r="B76" s="1"/>
  <c r="B77" s="1"/>
  <c r="B78" s="1"/>
  <c r="B74"/>
  <c r="B70"/>
  <c r="B67"/>
  <c r="B61"/>
  <c r="B62"/>
  <c r="B63" s="1"/>
  <c r="B64" s="1"/>
  <c r="B60"/>
  <c r="B55"/>
  <c r="B52"/>
  <c r="B49"/>
  <c r="B45"/>
  <c r="B46" s="1"/>
  <c r="B47" s="1"/>
  <c r="B48" s="1"/>
  <c r="B44"/>
  <c r="C36"/>
  <c r="B31"/>
  <c r="B32"/>
  <c r="B33" s="1"/>
  <c r="B30"/>
  <c r="B29"/>
  <c r="B9"/>
  <c r="B8"/>
  <c r="B7"/>
  <c r="B6"/>
  <c r="F7" i="9" l="1"/>
  <c r="E12"/>
  <c r="F44" i="2"/>
  <c r="E46"/>
  <c r="E48"/>
  <c r="D45"/>
  <c r="D47"/>
  <c r="D49"/>
  <c r="C46"/>
  <c r="C48"/>
  <c r="C44"/>
  <c r="E45"/>
  <c r="E47"/>
  <c r="E49"/>
  <c r="D46"/>
  <c r="D48"/>
  <c r="C45"/>
  <c r="C47"/>
  <c r="C49"/>
  <c r="B54"/>
  <c r="C60" s="1"/>
  <c r="E59"/>
  <c r="C63"/>
  <c r="B69"/>
  <c r="E73"/>
  <c r="C75"/>
  <c r="C77"/>
  <c r="C79"/>
  <c r="C81"/>
  <c r="C83"/>
  <c r="C74"/>
  <c r="C76"/>
  <c r="C78"/>
  <c r="C80"/>
  <c r="C82"/>
  <c r="B103"/>
  <c r="C112"/>
  <c r="C109"/>
  <c r="C111"/>
  <c r="E107"/>
  <c r="C113"/>
  <c r="C110"/>
  <c r="C108"/>
  <c r="B88"/>
  <c r="C95"/>
  <c r="C97"/>
  <c r="C93"/>
  <c r="C94"/>
  <c r="C96"/>
  <c r="C98"/>
  <c r="E92"/>
  <c r="E93" s="1"/>
  <c r="E94" s="1"/>
  <c r="E95" s="1"/>
  <c r="E96" s="1"/>
  <c r="E97" s="1"/>
  <c r="E98" s="1"/>
  <c r="F28" i="1"/>
  <c r="F39"/>
  <c r="D54"/>
  <c r="D51"/>
  <c r="F37"/>
  <c r="F47"/>
  <c r="F46"/>
  <c r="D39"/>
  <c r="C47"/>
  <c r="C46"/>
  <c r="D42"/>
  <c r="D41"/>
  <c r="D40"/>
  <c r="D38"/>
  <c r="F27"/>
  <c r="F25"/>
  <c r="F24"/>
  <c r="E12"/>
  <c r="E13"/>
  <c r="E11"/>
  <c r="F7"/>
  <c r="F30" s="1"/>
  <c r="G7" i="9" l="1"/>
  <c r="G12" s="1"/>
  <c r="F12"/>
  <c r="B53" i="3"/>
  <c r="D93" i="2"/>
  <c r="D94" s="1"/>
  <c r="D95" s="1"/>
  <c r="B47" i="3"/>
  <c r="D108" i="2"/>
  <c r="D109" s="1"/>
  <c r="D110" s="1"/>
  <c r="D111" s="1"/>
  <c r="D112" s="1"/>
  <c r="D113" s="1"/>
  <c r="B48" i="3"/>
  <c r="D74" i="2"/>
  <c r="D75" s="1"/>
  <c r="D76" s="1"/>
  <c r="D77" s="1"/>
  <c r="D78" s="1"/>
  <c r="D79" s="1"/>
  <c r="D80" s="1"/>
  <c r="D81" s="1"/>
  <c r="D82" s="1"/>
  <c r="D83" s="1"/>
  <c r="B46" i="3"/>
  <c r="D60" i="2"/>
  <c r="B45" i="3"/>
  <c r="D49" s="1"/>
  <c r="F31" i="1"/>
  <c r="F36" s="1"/>
  <c r="D36"/>
  <c r="D43" s="1"/>
  <c r="B78" i="3" s="1"/>
  <c r="D96" i="2"/>
  <c r="D97" s="1"/>
  <c r="D98" s="1"/>
  <c r="E74"/>
  <c r="E75" s="1"/>
  <c r="E76" s="1"/>
  <c r="E77" s="1"/>
  <c r="E78" s="1"/>
  <c r="E79" s="1"/>
  <c r="E80" s="1"/>
  <c r="E81" s="1"/>
  <c r="E82" s="1"/>
  <c r="E83" s="1"/>
  <c r="E60"/>
  <c r="C62"/>
  <c r="E108"/>
  <c r="E109" s="1"/>
  <c r="E110" s="1"/>
  <c r="E111" s="1"/>
  <c r="E112" s="1"/>
  <c r="E113" s="1"/>
  <c r="C61"/>
  <c r="D61" s="1"/>
  <c r="C64"/>
  <c r="F45"/>
  <c r="F14" i="1"/>
  <c r="F26"/>
  <c r="F17"/>
  <c r="F29"/>
  <c r="F46" i="2" l="1"/>
  <c r="F47" s="1"/>
  <c r="F48" s="1"/>
  <c r="F49" s="1"/>
  <c r="D50" i="3"/>
  <c r="F43" i="1"/>
  <c r="G43" s="1"/>
  <c r="C21" i="2"/>
  <c r="D62"/>
  <c r="D63" s="1"/>
  <c r="D64" s="1"/>
  <c r="E61"/>
  <c r="E62" s="1"/>
  <c r="E63" s="1"/>
  <c r="E64" s="1"/>
  <c r="C29" i="4" l="1"/>
  <c r="A40" s="1"/>
  <c r="E31" i="2"/>
  <c r="D31"/>
  <c r="C31"/>
  <c r="E30"/>
  <c r="D30"/>
  <c r="C30"/>
  <c r="C29"/>
  <c r="F29"/>
  <c r="E33"/>
  <c r="D33"/>
  <c r="C33"/>
  <c r="E32"/>
  <c r="D32"/>
  <c r="C32"/>
  <c r="B52" i="3" l="1"/>
  <c r="D54" s="1"/>
  <c r="D55" s="1"/>
  <c r="F60" s="1"/>
  <c r="C60" s="1"/>
  <c r="D61" s="1"/>
  <c r="D62" s="1"/>
  <c r="F30" i="2"/>
  <c r="C35" i="5" l="1"/>
  <c r="F31" i="2"/>
  <c r="F32" s="1"/>
  <c r="F33" s="1"/>
  <c r="B73" i="3"/>
  <c r="C75" s="1"/>
  <c r="B77"/>
  <c r="C79" s="1"/>
</calcChain>
</file>

<file path=xl/sharedStrings.xml><?xml version="1.0" encoding="utf-8"?>
<sst xmlns="http://schemas.openxmlformats.org/spreadsheetml/2006/main" count="528" uniqueCount="385">
  <si>
    <t>JAWABAN KASUS 2</t>
  </si>
  <si>
    <t>CV LARASATI, KEBUTUHAN MODAL INVESTASI</t>
  </si>
  <si>
    <t>Keterangan</t>
  </si>
  <si>
    <t>Jumlah</t>
  </si>
  <si>
    <t>Modal Kerja</t>
  </si>
  <si>
    <t>Diambilkan dari kasus 1 jumlah modal kerja</t>
  </si>
  <si>
    <t>Aktiva Tetap</t>
  </si>
  <si>
    <t>- Rehabilitasi gedung</t>
  </si>
  <si>
    <t>- Mesin-mesin</t>
  </si>
  <si>
    <t xml:space="preserve">  - Mesin jahit</t>
  </si>
  <si>
    <t xml:space="preserve">  - Mesin Finishing</t>
  </si>
  <si>
    <t>unit</t>
  </si>
  <si>
    <t>@</t>
  </si>
  <si>
    <t xml:space="preserve">  - Mesin Potong</t>
  </si>
  <si>
    <t>- Kendaraan operasional</t>
  </si>
  <si>
    <t>- Peralatan Kantor</t>
  </si>
  <si>
    <t>KEBUTUHAN INVESTASI AWAL</t>
  </si>
  <si>
    <t>lembar kerja kasus 2.2 MENGHITUNG BESAR PINJAMAN MODAL KERJA</t>
  </si>
  <si>
    <t>1. Lembar kerja KASUS 2.1 Kebutuhan Investasi Awal</t>
  </si>
  <si>
    <t>Kas tersedia</t>
  </si>
  <si>
    <t>Alokasi Dana (Pengeluaran)</t>
  </si>
  <si>
    <t>- Uang muka pinjaman kendaraan 25%</t>
  </si>
  <si>
    <t xml:space="preserve">  - Rehabilitasi gedung</t>
  </si>
  <si>
    <t xml:space="preserve">  - Mesin mesin</t>
  </si>
  <si>
    <t xml:space="preserve">  - Peralatan Kantor</t>
  </si>
  <si>
    <t>Jumlah Pengeluaran</t>
  </si>
  <si>
    <t>Sisa Kas</t>
  </si>
  <si>
    <t>Kebutuhan Modal Kerja</t>
  </si>
  <si>
    <t>Lembar Kerja Kasus2.3 NERACA AWAL TAHUN</t>
  </si>
  <si>
    <t>KEWAJIBAN DAN EQUITAS</t>
  </si>
  <si>
    <t>Aset Lancar</t>
  </si>
  <si>
    <t>ASET</t>
  </si>
  <si>
    <t>- Modal Kerja</t>
  </si>
  <si>
    <t>- Tanah</t>
  </si>
  <si>
    <t>- Gedung stlh rehabilitasi</t>
  </si>
  <si>
    <t>- Mesin mesin</t>
  </si>
  <si>
    <t>- Kendaraan</t>
  </si>
  <si>
    <t>- Peralatan kantor</t>
  </si>
  <si>
    <t>TOTAL ASET</t>
  </si>
  <si>
    <t>Gedung stlh rehabilitasi</t>
  </si>
  <si>
    <t xml:space="preserve">Gedung </t>
  </si>
  <si>
    <t>direhabilitasi</t>
  </si>
  <si>
    <t xml:space="preserve">Kewajiban </t>
  </si>
  <si>
    <t>- Hutang Modal Kerja</t>
  </si>
  <si>
    <t>- Hutang Kendaraan</t>
  </si>
  <si>
    <t>kendaraan</t>
  </si>
  <si>
    <t>DP 25%</t>
  </si>
  <si>
    <t>Hutang kendaraan</t>
  </si>
  <si>
    <t>Modal Sendiri</t>
  </si>
  <si>
    <t>MODAL AWAL</t>
  </si>
  <si>
    <t>Jenis Modal</t>
  </si>
  <si>
    <t>Tanah</t>
  </si>
  <si>
    <t>Gedung dan Perkakas</t>
  </si>
  <si>
    <t>Kas (uang tunai)</t>
  </si>
  <si>
    <t>JUMLAH MODAL SENDIRI</t>
  </si>
  <si>
    <t>Nilai</t>
  </si>
  <si>
    <t>KEKURANGAN UNTUK MODAL KERJA</t>
  </si>
  <si>
    <t>TTL KWJB &amp;EQUITAS</t>
  </si>
  <si>
    <t>CV LARASATI, akan menyusun laporan keuangan dan membutuhkan data angsuran hutang</t>
  </si>
  <si>
    <t>Tabel Jenis Aset tetap dan metode depresiasi</t>
  </si>
  <si>
    <t>Aset Tetap</t>
  </si>
  <si>
    <t>Harga Perolehan</t>
  </si>
  <si>
    <t>Usia Produktif</t>
  </si>
  <si>
    <t>Nilai Sisa</t>
  </si>
  <si>
    <t>Metode Depresias</t>
  </si>
  <si>
    <t>Gedung</t>
  </si>
  <si>
    <t>Mesin-mesin</t>
  </si>
  <si>
    <t>Kendaraan</t>
  </si>
  <si>
    <t>Peralatan Kantor</t>
  </si>
  <si>
    <t>tahun</t>
  </si>
  <si>
    <t>SLN</t>
  </si>
  <si>
    <t>SYD</t>
  </si>
  <si>
    <t>DDB</t>
  </si>
  <si>
    <t>SYD : Sum of the Year Digit</t>
  </si>
  <si>
    <t>DDB :Double Declining Balance</t>
  </si>
  <si>
    <t>SLN : Straight Line Methode</t>
  </si>
  <si>
    <t xml:space="preserve">2. Buatlah data hutang kendaraan serta angsuran hutang </t>
  </si>
  <si>
    <t>3. Buatlah tabel depresiasi kendaraan, gedung, mesin- mesin dan peralatan kantor</t>
  </si>
  <si>
    <t>1. buatlah perhitungan angsuran modal kerja serta angsuran hutang modal kerja</t>
  </si>
  <si>
    <t>1. Data hutang Modal Kerja</t>
  </si>
  <si>
    <t xml:space="preserve">Hutang </t>
  </si>
  <si>
    <t>Jumlah periode Angsuran</t>
  </si>
  <si>
    <t>Tingkat bunga per periode</t>
  </si>
  <si>
    <t>tipe angsuran akhir periode</t>
  </si>
  <si>
    <t>waktu kredit cair</t>
  </si>
  <si>
    <t>ANGSURAN HUTANG MODAL KERJA</t>
  </si>
  <si>
    <t>Angsuran ke</t>
  </si>
  <si>
    <t>Jatuh Tempo</t>
  </si>
  <si>
    <t>Jumlah angsuran</t>
  </si>
  <si>
    <t>Pokok Hutang</t>
  </si>
  <si>
    <t>Bunga hutang</t>
  </si>
  <si>
    <t>Sisa Hutang</t>
  </si>
  <si>
    <t>2. Data hutang Kendaraan</t>
  </si>
  <si>
    <t>ANGSURAN HUTANG KENDARAAN</t>
  </si>
  <si>
    <t>3. Data Kendaraan</t>
  </si>
  <si>
    <t>Nilai Kendaraan</t>
  </si>
  <si>
    <t>Umur ekonomis</t>
  </si>
  <si>
    <t>metode Depresiasi</t>
  </si>
  <si>
    <t>DEPRESIASI KENDARAAN</t>
  </si>
  <si>
    <t>Tahun ke</t>
  </si>
  <si>
    <t>depresiasi perthn</t>
  </si>
  <si>
    <t>akumulasi dep.</t>
  </si>
  <si>
    <t>Nilai sisa</t>
  </si>
  <si>
    <t>3. Data Gedung</t>
  </si>
  <si>
    <t>Nilai Gedung</t>
  </si>
  <si>
    <t>DEPRESIASI GEDUNG</t>
  </si>
  <si>
    <t>3. Data Mesin-mesin</t>
  </si>
  <si>
    <t>Nilai Mesin</t>
  </si>
  <si>
    <t>DEPRESIASI MESIN-MESIN</t>
  </si>
  <si>
    <t>3. Data Peralatan Kantor</t>
  </si>
  <si>
    <t>Nilai Peralatan</t>
  </si>
  <si>
    <t>DEPRESIASI PERALATAN KANTOR</t>
  </si>
  <si>
    <t>Dikasus 3 ini</t>
  </si>
  <si>
    <t>JAWABAN KASUS 3</t>
  </si>
  <si>
    <t>KASUS 3, BUAT TABEL  ANGSURAN HUTANG DAN DEPRESIASI ASET TETAP</t>
  </si>
  <si>
    <t>Trend kegiatan usaha ditahun pertama cukup memberikan kejutan luar biasa</t>
  </si>
  <si>
    <t>1. Pada awal hgg pertengahan tahun supply lebih besar daripada demand</t>
  </si>
  <si>
    <t>2.Per agustus permintaan meningkat hgg akhir tahun</t>
  </si>
  <si>
    <t xml:space="preserve">3. Berikut data produksi, penjualan dan stock digudang </t>
  </si>
  <si>
    <t>TABEL 5. DATA PRODUKSI, PENJUALAN DAN STOCK</t>
  </si>
  <si>
    <t>Bulan</t>
  </si>
  <si>
    <t>Produksi/bln</t>
  </si>
  <si>
    <t>Penjualan/ bln</t>
  </si>
  <si>
    <t>stock digudang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</si>
  <si>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</si>
  <si>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</si>
  <si>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</si>
  <si>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</si>
  <si>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</si>
  <si>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</si>
  <si>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</si>
  <si>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</si>
  <si>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</si>
  <si>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</si>
  <si>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</si>
  <si>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</si>
  <si>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jumlah</t>
  </si>
  <si>
    <t>LEMBAR TUGAS 4.1 Menyusun Laporan Laba Rugi</t>
  </si>
  <si>
    <t xml:space="preserve">Data Penjualan </t>
  </si>
  <si>
    <t>Jumlah unit penjualan</t>
  </si>
  <si>
    <t>Harga jual perunit</t>
  </si>
  <si>
    <t>Harga Pokok Penjualan perunit</t>
  </si>
  <si>
    <t xml:space="preserve">Harga jual rata-rata Rp. 1.000.000,- perunit dengan kebijakan penjualan piutang dengan net -14 artinya dilakukan </t>
  </si>
  <si>
    <t>Apabila ditahun ini mndaptkan keuntungan untuk menambah modal kerja</t>
  </si>
  <si>
    <t>pembayaran hari ke 14 atau 2 mgg setelah transaksi penjualan, HPP 55% dari harga jual</t>
  </si>
  <si>
    <t>LAPORAN LABA RUGI 2 JANUARI SAMPAI 31 DESEMBER 2021</t>
  </si>
  <si>
    <t>Penjualan</t>
  </si>
  <si>
    <t>Tahun 2021</t>
  </si>
  <si>
    <t>HPP</t>
  </si>
  <si>
    <t>Laba Kotor</t>
  </si>
  <si>
    <t>Beban beban :</t>
  </si>
  <si>
    <t>Laba Operasional (EBIT)</t>
  </si>
  <si>
    <t>- Dep Kendaraan</t>
  </si>
  <si>
    <t>-Dep Mesin</t>
  </si>
  <si>
    <t>- Dep Gedung</t>
  </si>
  <si>
    <t>- Dep peralatan kantor</t>
  </si>
  <si>
    <t>- bunga modal kerja</t>
  </si>
  <si>
    <t>Total beban bunga</t>
  </si>
  <si>
    <t>Laba Sebelum Pajak (EBT)</t>
  </si>
  <si>
    <t>Pajak 5%</t>
  </si>
  <si>
    <t>Pajak15%</t>
  </si>
  <si>
    <t>Pajak 25%</t>
  </si>
  <si>
    <t>Pajak 30%</t>
  </si>
  <si>
    <t xml:space="preserve">Total Pajak </t>
  </si>
  <si>
    <t>Laba Setelah Pajak(EAT)</t>
  </si>
  <si>
    <t>- bunga kendaraan</t>
  </si>
  <si>
    <t>Ketentuan Pajak :</t>
  </si>
  <si>
    <t>Pajak perusahaan perorangan (UD) berlaku pajak progresif :</t>
  </si>
  <si>
    <t>0-50jt</t>
  </si>
  <si>
    <t>50.000.001-200.000.000</t>
  </si>
  <si>
    <t>200.000.001-500.000.000</t>
  </si>
  <si>
    <t>diatas 500.000.000</t>
  </si>
  <si>
    <t>Profit Margin</t>
  </si>
  <si>
    <t>- EAT</t>
  </si>
  <si>
    <t>- Penjualan</t>
  </si>
  <si>
    <t>Return on Asset(ROA)</t>
  </si>
  <si>
    <t>- Total Asset</t>
  </si>
  <si>
    <t>PM</t>
  </si>
  <si>
    <t>ROA</t>
  </si>
  <si>
    <t>Diberikan interpretasinya</t>
  </si>
  <si>
    <t>LEMBAR 4.2 ANALISIS PROFITABILITY</t>
  </si>
  <si>
    <t>-Beban Listrik dan telepon</t>
  </si>
  <si>
    <t>- Beban administrasi dan promosi</t>
  </si>
  <si>
    <t>-beban gaji karyawan</t>
  </si>
  <si>
    <t>Beban Operasional :</t>
  </si>
  <si>
    <t>Beban Depresiasi :</t>
  </si>
  <si>
    <t>Beban Bunga :</t>
  </si>
  <si>
    <t>Beban Pajak :</t>
  </si>
  <si>
    <t>Beban listrik dan telephon</t>
  </si>
  <si>
    <t>Soal Kasus1 :</t>
  </si>
  <si>
    <t>Beban Administrasi dan promosi</t>
  </si>
  <si>
    <t>Gaji Karyawan</t>
  </si>
  <si>
    <t>Beban operasional /b;n</t>
  </si>
  <si>
    <t>Beban operasional/thn</t>
  </si>
  <si>
    <t>thn</t>
  </si>
  <si>
    <t>Total Beban opersional /thn</t>
  </si>
  <si>
    <t>Total beban Depresiasi /thn</t>
  </si>
  <si>
    <t>PM : 17%, menunjuukkan kondisi perusahaan sangat prospek ditahun pertama  dengan menghasilkan keuntungan 17%</t>
  </si>
  <si>
    <t>ROA : 38%, investasi lumayan bagus karena tingkat keuntungan dianatas investasi sebesar 38%</t>
  </si>
  <si>
    <t>KASUS 5 ANALISA BREAK EVENT POINT</t>
  </si>
  <si>
    <t>SOAL : KASUS 4, MEMBUAT LAPORAN KEUANGAN DAN ANALISIS FINANCIAL</t>
  </si>
  <si>
    <t>Berdasarkan pengalaman selama 1 tahun produksi, maka pihak manajemen mengambil kebijakan antara lain :</t>
  </si>
  <si>
    <t>1. masih mempertahankan jumlah produksinya seperti tahun sebelumnya</t>
  </si>
  <si>
    <t xml:space="preserve">2. Harga jual, kebijakan penjualan, dan harga pokok produksi masih tetap untuk mempertahankan </t>
  </si>
  <si>
    <t>pasar yang diraih</t>
  </si>
  <si>
    <t>3. diperkirakan seluruh hasil produksinya laku terjual</t>
  </si>
  <si>
    <t>Tugas 5.1 Analisis Break Even Point</t>
  </si>
  <si>
    <t>Data Beban dan Harga Jual</t>
  </si>
  <si>
    <t>Harga Jual</t>
  </si>
  <si>
    <t>By Variabel/unit</t>
  </si>
  <si>
    <t xml:space="preserve">Biaya Tetap </t>
  </si>
  <si>
    <t>1. Beban operasional thn 2020</t>
  </si>
  <si>
    <t>Total biaya tetap</t>
  </si>
  <si>
    <t>2. Beban penyusutan 2020</t>
  </si>
  <si>
    <t>Hasil prhitungan Break Even Point (dalam Rp dan unit)</t>
  </si>
  <si>
    <t>TR = TC</t>
  </si>
  <si>
    <t>PxQ = FC + VC xQ</t>
  </si>
  <si>
    <t>Q =</t>
  </si>
  <si>
    <t>BEP UNIT :</t>
  </si>
  <si>
    <t>BEP RUPIAH :</t>
  </si>
  <si>
    <t>TC =FC +VC x Q</t>
  </si>
  <si>
    <t>TC =</t>
  </si>
  <si>
    <t>Rupiah</t>
  </si>
  <si>
    <t>GRAFIK BEP</t>
  </si>
  <si>
    <t>UNIT</t>
  </si>
  <si>
    <t>TR</t>
  </si>
  <si>
    <t>TC</t>
  </si>
  <si>
    <t>BEP</t>
  </si>
  <si>
    <t xml:space="preserve">Tugas 52. Rekomendasi hasil analisis Break Even Point </t>
  </si>
  <si>
    <t>agar perusahaan tidak menderita rugi</t>
  </si>
  <si>
    <t xml:space="preserve">TR = </t>
  </si>
  <si>
    <t xml:space="preserve">TC = </t>
  </si>
  <si>
    <t>Berdasarkan perhitungan BEP, perusahaan harus memproduksi minimal sebanyak ..................unit tas atau senilai Rp................</t>
  </si>
  <si>
    <t>Lembar Kerja Tugas 6.1 Perubahan MODAL KERJA</t>
  </si>
  <si>
    <t xml:space="preserve">Laba yang ditahan </t>
  </si>
  <si>
    <t>Untuk membayar utang modal kerja</t>
  </si>
  <si>
    <t>untuk bayar hutang kendaraan</t>
  </si>
  <si>
    <t>Sisanya untuk modal kerja</t>
  </si>
  <si>
    <t>NERACA PERUSAHAAN</t>
  </si>
  <si>
    <t>Aset</t>
  </si>
  <si>
    <t>Kewajiban dan Equitas</t>
  </si>
  <si>
    <t>Hutang Bank</t>
  </si>
  <si>
    <t>Hutang Kendaraan</t>
  </si>
  <si>
    <t>- Gedung</t>
  </si>
  <si>
    <t>- Mesin Mesin</t>
  </si>
  <si>
    <t>- Penyusutan gedung thn 1</t>
  </si>
  <si>
    <t>PER 31 DESEMBER 2021</t>
  </si>
  <si>
    <t>Lembar kerja tugas 6.2 NERACA per 31 Desember 2021</t>
  </si>
  <si>
    <t>- Penyusutan kendaraan thn 1</t>
  </si>
  <si>
    <t xml:space="preserve">Kendaraan </t>
  </si>
  <si>
    <t>- Penyusutan Peralatan kantor</t>
  </si>
  <si>
    <t>Peralatan kantor</t>
  </si>
  <si>
    <t>- Penyusutan Mesin-mesin</t>
  </si>
  <si>
    <t>Mesin mesin</t>
  </si>
  <si>
    <t>Modal Sendiri :</t>
  </si>
  <si>
    <t>Modal Awal</t>
  </si>
  <si>
    <t>- MK Awal</t>
  </si>
  <si>
    <t>- penyusutan kendaraan</t>
  </si>
  <si>
    <t>- penyusutan peralatan kantor</t>
  </si>
  <si>
    <t>- penyusutan mesin mesin</t>
  </si>
  <si>
    <t>- penyusutan gedung</t>
  </si>
  <si>
    <t>Modal kerja akhir</t>
  </si>
  <si>
    <t>ttl penyusutan</t>
  </si>
  <si>
    <t>- Penyusutan :</t>
  </si>
  <si>
    <t>Total Aset</t>
  </si>
  <si>
    <t>tt kwjbn &amp;equitas</t>
  </si>
  <si>
    <t>------------</t>
  </si>
  <si>
    <t>--------------</t>
  </si>
  <si>
    <t xml:space="preserve">KASUS 6.  </t>
  </si>
  <si>
    <t xml:space="preserve"> PERUBAHAN MODAL KERJA DAN NERACA</t>
  </si>
  <si>
    <t>(hasil lap laba rugi)</t>
  </si>
  <si>
    <t>(pokok hutang MK thn 1)</t>
  </si>
  <si>
    <t>(pokok hutang kendaraan thn 1)</t>
  </si>
  <si>
    <t>(ditotal)</t>
  </si>
  <si>
    <t>Total Kewajiban</t>
  </si>
  <si>
    <t>Total Equitas</t>
  </si>
  <si>
    <t xml:space="preserve">Hutang Bank awal </t>
  </si>
  <si>
    <t>Pokok hutang yg sdh terbayar</t>
  </si>
  <si>
    <t>-------------</t>
  </si>
  <si>
    <t>- sisanya untuk  modal kerja</t>
  </si>
  <si>
    <t>Hutang Bank akhir</t>
  </si>
  <si>
    <t xml:space="preserve">Hutang Kendaraan </t>
  </si>
  <si>
    <t>Hutang Kendaraan Awal</t>
  </si>
  <si>
    <t>Hutang Kendaraan stlh thn 1</t>
  </si>
  <si>
    <t>Sisa untuk MK</t>
  </si>
  <si>
    <t>Pokok Hutang Bank</t>
  </si>
  <si>
    <t xml:space="preserve">Pokok Hutang Kendaraan </t>
  </si>
  <si>
    <t>Jumlah Modal Awal thn berikutnya</t>
  </si>
  <si>
    <t>lembar ke 6.3  : NERACA PERBANDINGAN</t>
  </si>
  <si>
    <t>NERACA PERBANDINGAN</t>
  </si>
  <si>
    <t>PERIODE 2 JANUARI 2021</t>
  </si>
  <si>
    <t>Perubahan</t>
  </si>
  <si>
    <t xml:space="preserve">- Gedung </t>
  </si>
  <si>
    <t>Analisis Perbandingan  :</t>
  </si>
  <si>
    <t>kewajiban ,</t>
  </si>
  <si>
    <t>Equitas</t>
  </si>
  <si>
    <t>Kewajiban &amp; equitas</t>
  </si>
  <si>
    <t>------------------------------------------------------------------------------------------------------------------------------------------</t>
  </si>
  <si>
    <t xml:space="preserve">SOAL KASUS 7 </t>
  </si>
  <si>
    <t>2. Harga jual, kebijakan penjualan dan harga produksi masih tetap untuk mempertahankan pasar yang sudah diraih</t>
  </si>
  <si>
    <t>3. Diperkirakan seluruh produksi bisa laku hingga 90%</t>
  </si>
  <si>
    <t>Pihak manajemen memperkirakan perkembangan usaha selama 5 tahun mendatang antara lain :</t>
  </si>
  <si>
    <t>1. Rencana produksi, biaya dan harga jual</t>
  </si>
  <si>
    <t>b. Harga jual dinaikkan rata-rata 20% pertahun, hal ini karena diprediksi biaya produksi akan naik</t>
  </si>
  <si>
    <t>2. Hutang atau Leasing</t>
  </si>
  <si>
    <t xml:space="preserve">a. Dengan kebijakan penambahan jumlah produksi, perusahaan membutuhkan 1 set mesin. Untuk pengadaan </t>
  </si>
  <si>
    <t xml:space="preserve">b. Jika membeli, harga 1 set mesin diperkirakan sudah naik menjadi 37.500.000. Apabila perusahaan memutuskan </t>
  </si>
  <si>
    <t>d. Untuk kepentingan analisis ini pajak perusahaan diasumsikan menggunkan bobot terbesar 30% pertahun</t>
  </si>
  <si>
    <t xml:space="preserve">e. Untuk menghitung nilai sekarang (present value) arus kas keluar menggunakan discount factor berdasarkan biaya modal </t>
  </si>
  <si>
    <t>3. Biaya modal rata rata tertimbang</t>
  </si>
  <si>
    <t>a. Untuk kepentingan evaluasi kelayakan usaha, perlu diketahui biaya modal rata-rata tertimbang setelah pajak (</t>
  </si>
  <si>
    <t>b. Perusahaan mengharapkan tingkat pengembalian investasi dengan modal sendiri yg ditanamkan diperkirakan 25%.</t>
  </si>
  <si>
    <t xml:space="preserve">    lebih kurang 16% pertahun dan biaya operasional naik 15% pertahun</t>
  </si>
  <si>
    <t xml:space="preserve">    mesin perusahaan perlu melakukan evaluasi pengadaan mesin, apakah  dengan cara menyewa atau membeli dengan cara utang</t>
  </si>
  <si>
    <t xml:space="preserve">    membeli maka pendanaannya menggunakan hutang bank, dengan tingkat bunga menurun 20% pertahun. Angsuran dibayar tiap</t>
  </si>
  <si>
    <t xml:space="preserve">    tahun setiap akhir periode selama 5 tahun. Usia ekonomis mesin diperkirakan 5 tahun dengan nilai sisa 25%. </t>
  </si>
  <si>
    <t xml:space="preserve">    Penyusutan mesin menggunakan metode sum of the year digit</t>
  </si>
  <si>
    <t xml:space="preserve">    berupa hutang setelah pajak</t>
  </si>
  <si>
    <t xml:space="preserve">     (weighted average cost of capital) dari odal jangka panjang yang dipakai. Dalam hal ini terdiri dari hutang modal kerja</t>
  </si>
  <si>
    <t xml:space="preserve">    hutang kendaraan dan hutang modal sendiri</t>
  </si>
  <si>
    <t xml:space="preserve">     sedangkan hutang disesuaikan dengan perjanjian kredit masing masing aktiva. Biaya modal ini digunakan sebagai tingkat </t>
  </si>
  <si>
    <t xml:space="preserve">    bunga untuk menghitung faktor diskonto dalam menghitung present value dari aliran kas yg dievaluasi</t>
  </si>
  <si>
    <t>PENGEMBANGAN USAHA -ALTERNATIF PENGEMBANGAN USAHA</t>
  </si>
  <si>
    <t>(HUTANG VS LEASING)</t>
  </si>
  <si>
    <t>ALTERNATIF PENDANAAN ------ HUTANG VS LEASING</t>
  </si>
  <si>
    <t>Lembar kerja tugas 7.1 Hutang Bank untuk beli Mesin</t>
  </si>
  <si>
    <t>data hutang</t>
  </si>
  <si>
    <t xml:space="preserve">besar pinjaman </t>
  </si>
  <si>
    <t>jumlah periode angsuran</t>
  </si>
  <si>
    <t>tingkat bunga per periode</t>
  </si>
  <si>
    <t>tipe angsuran</t>
  </si>
  <si>
    <t>waktu cair kredit</t>
  </si>
  <si>
    <t>akhir tahun</t>
  </si>
  <si>
    <t>ANGSURAN HUTANG MESIN</t>
  </si>
  <si>
    <t>Jatuh tempo</t>
  </si>
  <si>
    <t>pokok hutang</t>
  </si>
  <si>
    <t>sisa Hutang</t>
  </si>
  <si>
    <t>Lembar kerja tugas 7.2 Depresiasi Mesin</t>
  </si>
  <si>
    <t>Data Depresiasi</t>
  </si>
  <si>
    <t>Nilai sisa dalam rupiah 25%</t>
  </si>
  <si>
    <t>Sum years digit methode</t>
  </si>
  <si>
    <t>tahun ke</t>
  </si>
  <si>
    <t>Depresiasi pertahun</t>
  </si>
  <si>
    <t>Akumulasi depresiasi</t>
  </si>
  <si>
    <t>Lembar Kerja tugas  7.3 ARUS KAS ALTERNATIF HUTANG</t>
  </si>
  <si>
    <t>jumlah angsuran</t>
  </si>
  <si>
    <t>bunga pinjaman</t>
  </si>
  <si>
    <t>depresiasi</t>
  </si>
  <si>
    <t>perlindungan pajak</t>
  </si>
  <si>
    <t>kas keluar</t>
  </si>
  <si>
    <t>discount factor</t>
  </si>
  <si>
    <t>PV arus kas</t>
  </si>
  <si>
    <t>Perlindungan pajak : tingkat pajak x (bunga pinjaman + depresiasi)</t>
  </si>
  <si>
    <t>a. Mulai bulan januari depan perusahaan akan menaikkan jumlah produksi 15% pertahun.</t>
  </si>
  <si>
    <t>Kas keluar : jumlah angsuran - perlindungan pajak</t>
  </si>
  <si>
    <t>Kolom faktor diskonto =1/(1+i)n , dimana i adalah biaya hutang setelah pajak dan n adalah tahun ke n</t>
  </si>
  <si>
    <t>Biaya hutang setelah pajak = biaya hutang sebelum pajak (1-pajak)</t>
  </si>
  <si>
    <t>Kolom present value  arus kas = kas keluar x diskont faktor ( faktor diskonto)</t>
  </si>
  <si>
    <t>Nilai sekarang kas keluar adalah jumlah pinjaman PV arus kas</t>
  </si>
  <si>
    <t>Nilai sekarang kas keluar</t>
  </si>
  <si>
    <t>Catt : Discount Factor menggunakan biaya hutang setelah pajak = biaya hutang sebelum pajak (1-tax)</t>
  </si>
  <si>
    <t>Lembar kerja tugas 7.4 ARUS KAS ALTENATIF SEWA (LEASING)</t>
  </si>
  <si>
    <t xml:space="preserve">tahun ke </t>
  </si>
  <si>
    <t>sewa</t>
  </si>
  <si>
    <t>DF</t>
  </si>
  <si>
    <t>c. Jika memilih alternatif sewa, biaya sewa sebesar 7.500.000 pertahun dibayar setiap awal periode</t>
  </si>
  <si>
    <t>Lembar kerja Tugas 7.5 PENGAMBILAN KEPUTUSAN</t>
  </si>
  <si>
    <t>JAWABAN KASUS 7</t>
  </si>
  <si>
    <t>Perusahaan meMUTUSKAN  untuk SEWA MESIN karena PV Present Value dari aliran kas lebih KECIL dibanding dengan HUTANG</t>
  </si>
  <si>
    <t>KASUS KE 8</t>
  </si>
  <si>
    <t>PROYEKSI LABA RUGI</t>
  </si>
  <si>
    <t>Lembar Kerja Tugas 8.1 Laba Rugi tahun 2021 dan proyeksi 5 tahun kedepan</t>
  </si>
  <si>
    <t>Data untuk laporan Laba Rugi</t>
  </si>
  <si>
    <t>Harga jual (Rp/unit)</t>
  </si>
  <si>
    <t>HPP/unit</t>
  </si>
  <si>
    <t>LABA RUGI TAHUN 2021 DAN PROYEKSI HGG THN 2026</t>
  </si>
  <si>
    <t>Penerimaan</t>
  </si>
  <si>
    <t>Keteranagan</t>
  </si>
  <si>
    <t>Laba kotor</t>
  </si>
  <si>
    <t>Beban :</t>
  </si>
  <si>
    <t>Beban operasional</t>
  </si>
  <si>
    <t>Beban sewa mesin</t>
  </si>
  <si>
    <t>DITERUSKAN DI FILE JAWABAN KASUS 8</t>
  </si>
  <si>
    <t>Sudah dimasukkan Discount factor</t>
  </si>
  <si>
    <t>DEPRESIASI MESIN</t>
  </si>
</sst>
</file>

<file path=xl/styles.xml><?xml version="1.0" encoding="utf-8"?>
<styleSheet xmlns="http://schemas.openxmlformats.org/spreadsheetml/2006/main">
  <numFmts count="8">
    <numFmt numFmtId="8" formatCode="&quot;Rp&quot;#,##0.00_);[Red]\(&quot;Rp&quot;#,##0.00\)"/>
    <numFmt numFmtId="41" formatCode="_(* #,##0_);_(* \(#,##0\);_(* &quot;-&quot;_);_(@_)"/>
    <numFmt numFmtId="43" formatCode="_(* #,##0.00_);_(* \(#,##0.00\);_(* &quot;-&quot;??_);_(@_)"/>
    <numFmt numFmtId="164" formatCode="&quot;Rp&quot;#,##0.00"/>
    <numFmt numFmtId="165" formatCode="_(* #,##0.000000_);_(* \(#,##0.000000\);_(* &quot;-&quot;_);_(@_)"/>
    <numFmt numFmtId="166" formatCode="_(* #,##0.00_);_(* \(#,##0.00\);_(* &quot;-&quot;_);_(@_)"/>
    <numFmt numFmtId="167" formatCode="&quot;Rp&quot;#,##0"/>
    <numFmt numFmtId="168" formatCode="_(* #,##0_);_(* \(#,##0\);_(* &quot;-&quot;??_);_(@_)"/>
  </numFmts>
  <fonts count="2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Arial Unicode MS"/>
      <family val="2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2"/>
      <color rgb="FFFF0000"/>
      <name val="Arial Unicode MS"/>
      <family val="2"/>
    </font>
    <font>
      <b/>
      <sz val="16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/>
    <xf numFmtId="0" fontId="4" fillId="0" borderId="0" xfId="0" applyFont="1"/>
    <xf numFmtId="41" fontId="2" fillId="0" borderId="0" xfId="0" applyNumberFormat="1" applyFont="1"/>
    <xf numFmtId="0" fontId="2" fillId="0" borderId="0" xfId="0" quotePrefix="1" applyFont="1"/>
    <xf numFmtId="41" fontId="2" fillId="0" borderId="0" xfId="1" quotePrefix="1" applyFont="1"/>
    <xf numFmtId="41" fontId="2" fillId="0" borderId="0" xfId="1" applyFont="1"/>
    <xf numFmtId="0" fontId="5" fillId="2" borderId="0" xfId="0" applyFont="1" applyFill="1"/>
    <xf numFmtId="0" fontId="2" fillId="2" borderId="0" xfId="0" applyFont="1" applyFill="1"/>
    <xf numFmtId="41" fontId="5" fillId="0" borderId="0" xfId="1" applyFont="1"/>
    <xf numFmtId="0" fontId="2" fillId="0" borderId="1" xfId="0" quotePrefix="1" applyFont="1" applyBorder="1"/>
    <xf numFmtId="41" fontId="2" fillId="0" borderId="0" xfId="1" quotePrefix="1" applyFont="1" applyBorder="1"/>
    <xf numFmtId="41" fontId="2" fillId="0" borderId="0" xfId="1" quotePrefix="1" applyFont="1" applyBorder="1" applyAlignment="1">
      <alignment horizontal="center"/>
    </xf>
    <xf numFmtId="0" fontId="2" fillId="0" borderId="1" xfId="0" applyFont="1" applyBorder="1"/>
    <xf numFmtId="41" fontId="2" fillId="0" borderId="0" xfId="1" applyFont="1" applyBorder="1"/>
    <xf numFmtId="41" fontId="2" fillId="0" borderId="2" xfId="1" quotePrefix="1" applyFont="1" applyBorder="1" applyAlignment="1">
      <alignment horizontal="center"/>
    </xf>
    <xf numFmtId="41" fontId="2" fillId="0" borderId="2" xfId="1" quotePrefix="1" applyFont="1" applyBorder="1"/>
    <xf numFmtId="41" fontId="2" fillId="0" borderId="2" xfId="1" applyFont="1" applyBorder="1"/>
    <xf numFmtId="0" fontId="5" fillId="3" borderId="2" xfId="0" applyFont="1" applyFill="1" applyBorder="1" applyAlignment="1">
      <alignment horizontal="center"/>
    </xf>
    <xf numFmtId="0" fontId="2" fillId="0" borderId="2" xfId="0" applyFont="1" applyBorder="1"/>
    <xf numFmtId="41" fontId="5" fillId="3" borderId="2" xfId="1" applyFont="1" applyFill="1" applyBorder="1"/>
    <xf numFmtId="41" fontId="2" fillId="0" borderId="3" xfId="1" quotePrefix="1" applyFont="1" applyBorder="1"/>
    <xf numFmtId="41" fontId="2" fillId="0" borderId="4" xfId="1" applyFont="1" applyBorder="1"/>
    <xf numFmtId="41" fontId="7" fillId="0" borderId="2" xfId="0" applyNumberFormat="1" applyFont="1" applyBorder="1"/>
    <xf numFmtId="41" fontId="9" fillId="0" borderId="2" xfId="0" applyNumberFormat="1" applyFont="1" applyBorder="1"/>
    <xf numFmtId="9" fontId="2" fillId="0" borderId="0" xfId="1" quotePrefix="1" applyNumberFormat="1" applyFont="1" applyBorder="1"/>
    <xf numFmtId="41" fontId="6" fillId="0" borderId="2" xfId="1" applyFont="1" applyBorder="1"/>
    <xf numFmtId="41" fontId="2" fillId="0" borderId="3" xfId="1" applyFont="1" applyBorder="1"/>
    <xf numFmtId="41" fontId="8" fillId="3" borderId="3" xfId="1" applyFont="1" applyFill="1" applyBorder="1"/>
    <xf numFmtId="41" fontId="6" fillId="0" borderId="0" xfId="1" applyFont="1"/>
    <xf numFmtId="41" fontId="6" fillId="3" borderId="0" xfId="1" applyFont="1" applyFill="1"/>
    <xf numFmtId="41" fontId="2" fillId="0" borderId="5" xfId="1" applyFont="1" applyBorder="1"/>
    <xf numFmtId="41" fontId="5" fillId="0" borderId="0" xfId="1" applyFont="1" applyAlignment="1">
      <alignment horizontal="center"/>
    </xf>
    <xf numFmtId="41" fontId="5" fillId="3" borderId="0" xfId="0" applyNumberFormat="1" applyFont="1" applyFill="1" applyAlignment="1"/>
    <xf numFmtId="41" fontId="3" fillId="3" borderId="0" xfId="1" applyFont="1" applyFill="1"/>
    <xf numFmtId="41" fontId="8" fillId="3" borderId="0" xfId="1" applyFont="1" applyFill="1"/>
    <xf numFmtId="0" fontId="5" fillId="0" borderId="0" xfId="0" applyFont="1" applyAlignment="1">
      <alignment horizontal="center"/>
    </xf>
    <xf numFmtId="9" fontId="2" fillId="0" borderId="0" xfId="0" applyNumberFormat="1" applyFont="1"/>
    <xf numFmtId="0" fontId="5" fillId="3" borderId="0" xfId="0" applyFont="1" applyFill="1" applyAlignment="1">
      <alignment horizontal="left"/>
    </xf>
    <xf numFmtId="0" fontId="2" fillId="0" borderId="7" xfId="0" applyFont="1" applyBorder="1" applyAlignment="1">
      <alignment horizontal="center"/>
    </xf>
    <xf numFmtId="0" fontId="5" fillId="3" borderId="0" xfId="0" applyFont="1" applyFill="1"/>
    <xf numFmtId="0" fontId="2" fillId="3" borderId="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0" fontId="2" fillId="4" borderId="0" xfId="0" applyFont="1" applyFill="1"/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12" fillId="2" borderId="7" xfId="0" applyFont="1" applyFill="1" applyBorder="1" applyAlignment="1">
      <alignment horizontal="center"/>
    </xf>
    <xf numFmtId="0" fontId="11" fillId="0" borderId="7" xfId="0" applyFont="1" applyBorder="1"/>
    <xf numFmtId="41" fontId="11" fillId="0" borderId="7" xfId="0" applyNumberFormat="1" applyFont="1" applyBorder="1"/>
    <xf numFmtId="9" fontId="11" fillId="0" borderId="7" xfId="0" applyNumberFormat="1" applyFont="1" applyBorder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15" fontId="11" fillId="0" borderId="7" xfId="0" applyNumberFormat="1" applyFont="1" applyBorder="1"/>
    <xf numFmtId="0" fontId="12" fillId="3" borderId="7" xfId="0" applyFont="1" applyFill="1" applyBorder="1" applyAlignment="1">
      <alignment horizontal="center"/>
    </xf>
    <xf numFmtId="8" fontId="11" fillId="0" borderId="7" xfId="0" applyNumberFormat="1" applyFont="1" applyBorder="1"/>
    <xf numFmtId="164" fontId="11" fillId="0" borderId="7" xfId="0" applyNumberFormat="1" applyFont="1" applyBorder="1"/>
    <xf numFmtId="164" fontId="11" fillId="0" borderId="7" xfId="1" applyNumberFormat="1" applyFont="1" applyBorder="1"/>
    <xf numFmtId="41" fontId="11" fillId="0" borderId="0" xfId="0" applyNumberFormat="1" applyFont="1"/>
    <xf numFmtId="41" fontId="13" fillId="0" borderId="0" xfId="1" applyFont="1"/>
    <xf numFmtId="9" fontId="11" fillId="0" borderId="0" xfId="0" applyNumberFormat="1" applyFont="1"/>
    <xf numFmtId="0" fontId="11" fillId="0" borderId="7" xfId="0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8" fontId="11" fillId="0" borderId="7" xfId="0" applyNumberFormat="1" applyFont="1" applyBorder="1" applyAlignment="1">
      <alignment horizontal="center"/>
    </xf>
    <xf numFmtId="8" fontId="13" fillId="0" borderId="7" xfId="0" applyNumberFormat="1" applyFont="1" applyBorder="1" applyAlignment="1">
      <alignment horizontal="center"/>
    </xf>
    <xf numFmtId="41" fontId="11" fillId="2" borderId="0" xfId="1" applyFont="1" applyFill="1"/>
    <xf numFmtId="8" fontId="11" fillId="2" borderId="7" xfId="0" applyNumberFormat="1" applyFont="1" applyFill="1" applyBorder="1" applyAlignment="1">
      <alignment horizontal="center"/>
    </xf>
    <xf numFmtId="0" fontId="7" fillId="3" borderId="7" xfId="1" applyNumberFormat="1" applyFont="1" applyFill="1" applyBorder="1" applyAlignment="1">
      <alignment horizontal="center"/>
    </xf>
    <xf numFmtId="0" fontId="2" fillId="3" borderId="7" xfId="1" applyNumberFormat="1" applyFont="1" applyFill="1" applyBorder="1" applyAlignment="1">
      <alignment horizontal="center"/>
    </xf>
    <xf numFmtId="41" fontId="2" fillId="0" borderId="0" xfId="0" quotePrefix="1" applyNumberFormat="1" applyFont="1" applyAlignment="1">
      <alignment horizontal="center"/>
    </xf>
    <xf numFmtId="41" fontId="2" fillId="0" borderId="5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1" fontId="2" fillId="0" borderId="0" xfId="1" quotePrefix="1" applyFont="1" applyAlignment="1">
      <alignment horizontal="center"/>
    </xf>
    <xf numFmtId="8" fontId="2" fillId="0" borderId="0" xfId="0" quotePrefix="1" applyNumberFormat="1" applyFont="1" applyAlignment="1">
      <alignment horizontal="center"/>
    </xf>
    <xf numFmtId="8" fontId="2" fillId="0" borderId="5" xfId="0" quotePrefix="1" applyNumberFormat="1" applyFont="1" applyBorder="1" applyAlignment="1">
      <alignment horizontal="center"/>
    </xf>
    <xf numFmtId="43" fontId="2" fillId="0" borderId="0" xfId="0" quotePrefix="1" applyNumberFormat="1" applyFont="1" applyAlignment="1">
      <alignment horizontal="center"/>
    </xf>
    <xf numFmtId="41" fontId="2" fillId="0" borderId="5" xfId="1" quotePrefix="1" applyFont="1" applyBorder="1" applyAlignment="1">
      <alignment horizontal="center"/>
    </xf>
    <xf numFmtId="8" fontId="2" fillId="0" borderId="0" xfId="0" applyNumberFormat="1" applyFont="1"/>
    <xf numFmtId="41" fontId="5" fillId="3" borderId="0" xfId="0" quotePrefix="1" applyNumberFormat="1" applyFont="1" applyFill="1" applyAlignment="1">
      <alignment horizontal="center"/>
    </xf>
    <xf numFmtId="9" fontId="2" fillId="0" borderId="0" xfId="2" quotePrefix="1" applyFont="1" applyAlignment="1">
      <alignment horizontal="center"/>
    </xf>
    <xf numFmtId="0" fontId="12" fillId="2" borderId="0" xfId="0" applyFont="1" applyFill="1"/>
    <xf numFmtId="0" fontId="11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8" fontId="11" fillId="0" borderId="0" xfId="0" applyNumberFormat="1" applyFont="1"/>
    <xf numFmtId="41" fontId="11" fillId="0" borderId="0" xfId="1" applyFont="1"/>
    <xf numFmtId="0" fontId="11" fillId="3" borderId="0" xfId="0" applyFont="1" applyFill="1"/>
    <xf numFmtId="0" fontId="12" fillId="0" borderId="0" xfId="0" applyFont="1"/>
    <xf numFmtId="43" fontId="11" fillId="0" borderId="0" xfId="0" applyNumberFormat="1" applyFont="1"/>
    <xf numFmtId="43" fontId="12" fillId="3" borderId="0" xfId="0" applyNumberFormat="1" applyFont="1" applyFill="1"/>
    <xf numFmtId="41" fontId="12" fillId="3" borderId="0" xfId="1" applyFont="1" applyFill="1"/>
    <xf numFmtId="0" fontId="11" fillId="0" borderId="0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16" xfId="0" applyFont="1" applyBorder="1"/>
    <xf numFmtId="0" fontId="11" fillId="0" borderId="15" xfId="0" applyFont="1" applyBorder="1"/>
    <xf numFmtId="43" fontId="12" fillId="0" borderId="10" xfId="0" applyNumberFormat="1" applyFont="1" applyBorder="1" applyAlignment="1">
      <alignment horizontal="right"/>
    </xf>
    <xf numFmtId="8" fontId="12" fillId="0" borderId="10" xfId="0" applyNumberFormat="1" applyFont="1" applyBorder="1"/>
    <xf numFmtId="0" fontId="2" fillId="3" borderId="0" xfId="0" applyFont="1" applyFill="1"/>
    <xf numFmtId="41" fontId="2" fillId="0" borderId="0" xfId="0" applyNumberFormat="1" applyFont="1" applyAlignment="1">
      <alignment horizontal="center"/>
    </xf>
    <xf numFmtId="0" fontId="14" fillId="4" borderId="0" xfId="0" applyFont="1" applyFill="1" applyAlignment="1">
      <alignment horizontal="center"/>
    </xf>
    <xf numFmtId="0" fontId="0" fillId="4" borderId="0" xfId="0" applyFill="1"/>
    <xf numFmtId="0" fontId="5" fillId="3" borderId="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9" xfId="0" applyFont="1" applyBorder="1"/>
    <xf numFmtId="0" fontId="2" fillId="0" borderId="0" xfId="0" applyFont="1" applyBorder="1"/>
    <xf numFmtId="41" fontId="2" fillId="0" borderId="0" xfId="0" quotePrefix="1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quotePrefix="1" applyFont="1" applyBorder="1"/>
    <xf numFmtId="0" fontId="2" fillId="0" borderId="20" xfId="0" applyFont="1" applyBorder="1"/>
    <xf numFmtId="41" fontId="2" fillId="0" borderId="2" xfId="0" quotePrefix="1" applyNumberFormat="1" applyFont="1" applyBorder="1" applyAlignment="1">
      <alignment horizontal="center"/>
    </xf>
    <xf numFmtId="0" fontId="2" fillId="3" borderId="18" xfId="0" applyFont="1" applyFill="1" applyBorder="1"/>
    <xf numFmtId="0" fontId="2" fillId="3" borderId="1" xfId="0" applyFont="1" applyFill="1" applyBorder="1"/>
    <xf numFmtId="41" fontId="2" fillId="0" borderId="9" xfId="0" quotePrefix="1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quotePrefix="1" applyFont="1" applyBorder="1"/>
    <xf numFmtId="0" fontId="15" fillId="0" borderId="0" xfId="0" applyFont="1"/>
    <xf numFmtId="0" fontId="16" fillId="0" borderId="0" xfId="0" applyFont="1"/>
    <xf numFmtId="0" fontId="17" fillId="0" borderId="24" xfId="0" applyFont="1" applyBorder="1"/>
    <xf numFmtId="0" fontId="17" fillId="0" borderId="27" xfId="0" applyFont="1" applyBorder="1"/>
    <xf numFmtId="0" fontId="16" fillId="0" borderId="21" xfId="0" applyFont="1" applyBorder="1"/>
    <xf numFmtId="41" fontId="16" fillId="0" borderId="0" xfId="0" applyNumberFormat="1" applyFont="1"/>
    <xf numFmtId="41" fontId="16" fillId="0" borderId="21" xfId="0" applyNumberFormat="1" applyFont="1" applyBorder="1"/>
    <xf numFmtId="10" fontId="16" fillId="0" borderId="28" xfId="2" applyNumberFormat="1" applyFont="1" applyBorder="1"/>
    <xf numFmtId="41" fontId="16" fillId="0" borderId="2" xfId="0" applyNumberFormat="1" applyFont="1" applyBorder="1"/>
    <xf numFmtId="10" fontId="16" fillId="0" borderId="21" xfId="2" applyNumberFormat="1" applyFont="1" applyBorder="1"/>
    <xf numFmtId="0" fontId="16" fillId="0" borderId="2" xfId="0" applyFont="1" applyBorder="1"/>
    <xf numFmtId="0" fontId="18" fillId="0" borderId="21" xfId="0" applyFont="1" applyBorder="1"/>
    <xf numFmtId="0" fontId="18" fillId="0" borderId="21" xfId="0" quotePrefix="1" applyFont="1" applyBorder="1"/>
    <xf numFmtId="0" fontId="18" fillId="0" borderId="4" xfId="0" quotePrefix="1" applyFont="1" applyBorder="1"/>
    <xf numFmtId="41" fontId="16" fillId="0" borderId="5" xfId="0" applyNumberFormat="1" applyFont="1" applyBorder="1"/>
    <xf numFmtId="41" fontId="16" fillId="0" borderId="4" xfId="0" applyNumberFormat="1" applyFont="1" applyBorder="1"/>
    <xf numFmtId="10" fontId="16" fillId="0" borderId="29" xfId="2" applyNumberFormat="1" applyFont="1" applyBorder="1"/>
    <xf numFmtId="0" fontId="16" fillId="0" borderId="3" xfId="0" applyFont="1" applyBorder="1"/>
    <xf numFmtId="0" fontId="16" fillId="0" borderId="5" xfId="0" applyFont="1" applyBorder="1"/>
    <xf numFmtId="0" fontId="16" fillId="0" borderId="4" xfId="0" applyFont="1" applyBorder="1"/>
    <xf numFmtId="10" fontId="16" fillId="0" borderId="4" xfId="2" applyNumberFormat="1" applyFont="1" applyBorder="1"/>
    <xf numFmtId="41" fontId="16" fillId="0" borderId="6" xfId="0" applyNumberFormat="1" applyFont="1" applyBorder="1"/>
    <xf numFmtId="41" fontId="16" fillId="0" borderId="22" xfId="0" applyNumberFormat="1" applyFont="1" applyBorder="1"/>
    <xf numFmtId="10" fontId="17" fillId="0" borderId="30" xfId="2" applyNumberFormat="1" applyFont="1" applyBorder="1"/>
    <xf numFmtId="10" fontId="17" fillId="0" borderId="22" xfId="2" applyNumberFormat="1" applyFont="1" applyBorder="1"/>
    <xf numFmtId="0" fontId="17" fillId="0" borderId="0" xfId="0" applyFont="1"/>
    <xf numFmtId="0" fontId="19" fillId="0" borderId="22" xfId="0" applyFont="1" applyBorder="1"/>
    <xf numFmtId="0" fontId="17" fillId="0" borderId="21" xfId="0" applyFont="1" applyBorder="1"/>
    <xf numFmtId="41" fontId="17" fillId="0" borderId="2" xfId="0" applyNumberFormat="1" applyFont="1" applyBorder="1"/>
    <xf numFmtId="0" fontId="16" fillId="0" borderId="0" xfId="0" quotePrefix="1" applyFont="1"/>
    <xf numFmtId="41" fontId="17" fillId="0" borderId="23" xfId="0" applyNumberFormat="1" applyFont="1" applyBorder="1"/>
    <xf numFmtId="15" fontId="17" fillId="0" borderId="25" xfId="0" applyNumberFormat="1" applyFont="1" applyBorder="1" applyAlignment="1">
      <alignment horizontal="center"/>
    </xf>
    <xf numFmtId="15" fontId="17" fillId="0" borderId="24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0" fillId="2" borderId="0" xfId="0" applyFill="1"/>
    <xf numFmtId="0" fontId="21" fillId="4" borderId="0" xfId="0" applyFont="1" applyFill="1" applyAlignment="1"/>
    <xf numFmtId="0" fontId="20" fillId="4" borderId="0" xfId="0" applyFont="1" applyFill="1" applyAlignment="1"/>
    <xf numFmtId="9" fontId="0" fillId="0" borderId="0" xfId="0" applyNumberFormat="1"/>
    <xf numFmtId="15" fontId="0" fillId="0" borderId="0" xfId="0" applyNumberFormat="1"/>
    <xf numFmtId="14" fontId="0" fillId="0" borderId="0" xfId="0" applyNumberFormat="1"/>
    <xf numFmtId="41" fontId="0" fillId="0" borderId="0" xfId="1" applyFont="1"/>
    <xf numFmtId="41" fontId="0" fillId="0" borderId="0" xfId="0" applyNumberFormat="1"/>
    <xf numFmtId="8" fontId="0" fillId="0" borderId="0" xfId="0" applyNumberFormat="1"/>
    <xf numFmtId="41" fontId="0" fillId="2" borderId="0" xfId="0" applyNumberFormat="1" applyFill="1"/>
    <xf numFmtId="165" fontId="0" fillId="2" borderId="0" xfId="1" applyNumberFormat="1" applyFont="1" applyFill="1"/>
    <xf numFmtId="0" fontId="0" fillId="5" borderId="0" xfId="0" applyFill="1"/>
    <xf numFmtId="41" fontId="23" fillId="6" borderId="0" xfId="0" applyNumberFormat="1" applyFont="1" applyFill="1"/>
    <xf numFmtId="0" fontId="23" fillId="2" borderId="0" xfId="0" applyFont="1" applyFill="1"/>
    <xf numFmtId="0" fontId="0" fillId="3" borderId="0" xfId="0" applyFill="1"/>
    <xf numFmtId="0" fontId="23" fillId="0" borderId="0" xfId="0" applyFont="1" applyAlignment="1">
      <alignment horizontal="center"/>
    </xf>
    <xf numFmtId="166" fontId="0" fillId="0" borderId="0" xfId="0" applyNumberFormat="1"/>
    <xf numFmtId="167" fontId="0" fillId="0" borderId="0" xfId="1" applyNumberFormat="1" applyFont="1"/>
    <xf numFmtId="168" fontId="0" fillId="0" borderId="0" xfId="0" applyNumberFormat="1"/>
    <xf numFmtId="41" fontId="0" fillId="2" borderId="0" xfId="1" applyFont="1" applyFill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3" fillId="3" borderId="0" xfId="0" quotePrefix="1" applyFont="1" applyFill="1" applyBorder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41" fontId="5" fillId="3" borderId="0" xfId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1" applyNumberFormat="1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23" fillId="0" borderId="0" xfId="0" applyFont="1"/>
    <xf numFmtId="0" fontId="23" fillId="5" borderId="0" xfId="0" applyFont="1" applyFill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35</xdr:row>
      <xdr:rowOff>171450</xdr:rowOff>
    </xdr:from>
    <xdr:to>
      <xdr:col>3</xdr:col>
      <xdr:colOff>809625</xdr:colOff>
      <xdr:row>43</xdr:row>
      <xdr:rowOff>85727</xdr:rowOff>
    </xdr:to>
    <xdr:cxnSp macro="">
      <xdr:nvCxnSpPr>
        <xdr:cNvPr id="3" name="Straight Connector 2"/>
        <xdr:cNvCxnSpPr/>
      </xdr:nvCxnSpPr>
      <xdr:spPr>
        <a:xfrm flipV="1">
          <a:off x="2133600" y="7839075"/>
          <a:ext cx="4143375" cy="16668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33</xdr:row>
      <xdr:rowOff>104775</xdr:rowOff>
    </xdr:from>
    <xdr:to>
      <xdr:col>3</xdr:col>
      <xdr:colOff>666750</xdr:colOff>
      <xdr:row>45</xdr:row>
      <xdr:rowOff>219075</xdr:rowOff>
    </xdr:to>
    <xdr:cxnSp macro="">
      <xdr:nvCxnSpPr>
        <xdr:cNvPr id="5" name="Straight Connector 4"/>
        <xdr:cNvCxnSpPr/>
      </xdr:nvCxnSpPr>
      <xdr:spPr>
        <a:xfrm flipV="1">
          <a:off x="2124075" y="7334250"/>
          <a:ext cx="4010025" cy="2743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WABAN%20KASUS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al Kerja"/>
    </sheetNames>
    <sheetDataSet>
      <sheetData sheetId="0">
        <row r="35">
          <cell r="B35">
            <v>645000</v>
          </cell>
          <cell r="E35">
            <v>109500000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opLeftCell="A18" zoomScale="93" zoomScaleNormal="93" workbookViewId="0">
      <selection activeCell="E43" sqref="E43"/>
    </sheetView>
  </sheetViews>
  <sheetFormatPr defaultRowHeight="15"/>
  <cols>
    <col min="1" max="1" width="26" customWidth="1"/>
    <col min="2" max="2" width="6.5703125" customWidth="1"/>
    <col min="3" max="3" width="15" customWidth="1"/>
    <col min="4" max="4" width="18.85546875" customWidth="1"/>
    <col min="5" max="5" width="22.7109375" customWidth="1"/>
    <col min="6" max="6" width="20.140625" customWidth="1"/>
    <col min="7" max="7" width="17.140625" bestFit="1" customWidth="1"/>
  </cols>
  <sheetData>
    <row r="1" spans="1:18" ht="18.75">
      <c r="A1" s="190" t="s">
        <v>0</v>
      </c>
      <c r="B1" s="190"/>
      <c r="C1" s="190"/>
      <c r="D1" s="190"/>
      <c r="E1" s="190"/>
      <c r="F1" s="19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6.25">
      <c r="A3" s="2" t="s">
        <v>1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7" t="s">
        <v>18</v>
      </c>
      <c r="B5" s="8"/>
      <c r="C5" s="8"/>
      <c r="D5" s="8"/>
      <c r="E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>
      <c r="A6" s="191" t="s">
        <v>2</v>
      </c>
      <c r="B6" s="192"/>
      <c r="C6" s="192"/>
      <c r="D6" s="192"/>
      <c r="E6" s="193"/>
      <c r="F6" s="18" t="s">
        <v>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>
      <c r="A7" s="194" t="s">
        <v>4</v>
      </c>
      <c r="B7" s="195"/>
      <c r="C7" s="195"/>
      <c r="D7" s="195"/>
      <c r="E7" s="196"/>
      <c r="F7" s="23">
        <f>+'[1]Modal Kerja'!$E$35</f>
        <v>109500000</v>
      </c>
      <c r="G7" s="1" t="s">
        <v>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>
      <c r="A8" s="194" t="s">
        <v>6</v>
      </c>
      <c r="B8" s="195"/>
      <c r="C8" s="195"/>
      <c r="D8" s="195"/>
      <c r="E8" s="196"/>
      <c r="F8" s="1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>
      <c r="A9" s="197" t="s">
        <v>7</v>
      </c>
      <c r="B9" s="198"/>
      <c r="C9" s="198"/>
      <c r="D9" s="198"/>
      <c r="E9" s="199"/>
      <c r="F9" s="17">
        <v>37500000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>
      <c r="A10" s="10" t="s">
        <v>8</v>
      </c>
      <c r="B10" s="11"/>
      <c r="C10" s="11"/>
      <c r="D10" s="12" t="s">
        <v>12</v>
      </c>
      <c r="E10" s="15"/>
      <c r="F10" s="1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>
      <c r="A11" s="10" t="s">
        <v>13</v>
      </c>
      <c r="B11" s="11">
        <v>1</v>
      </c>
      <c r="C11" s="11" t="s">
        <v>11</v>
      </c>
      <c r="D11" s="11">
        <v>7500000</v>
      </c>
      <c r="E11" s="16">
        <f>+B11*D11</f>
        <v>7500000</v>
      </c>
      <c r="F11" s="1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>
      <c r="A12" s="13" t="s">
        <v>9</v>
      </c>
      <c r="B12" s="14">
        <v>2</v>
      </c>
      <c r="C12" s="14" t="s">
        <v>11</v>
      </c>
      <c r="D12" s="14">
        <v>6000000</v>
      </c>
      <c r="E12" s="16">
        <f t="shared" ref="E12:E13" si="0">+B12*D12</f>
        <v>12000000</v>
      </c>
      <c r="F12" s="1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6.5" thickBot="1">
      <c r="A13" s="13" t="s">
        <v>10</v>
      </c>
      <c r="B13" s="14">
        <v>2</v>
      </c>
      <c r="C13" s="14" t="s">
        <v>11</v>
      </c>
      <c r="D13" s="14">
        <v>5250000</v>
      </c>
      <c r="E13" s="21">
        <f t="shared" si="0"/>
        <v>10500000</v>
      </c>
      <c r="F13" s="1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6.5" thickTop="1">
      <c r="A14" s="200"/>
      <c r="B14" s="201"/>
      <c r="C14" s="201"/>
      <c r="D14" s="201"/>
      <c r="E14" s="202"/>
      <c r="F14" s="17">
        <f>SUM(E11:E13)</f>
        <v>30000000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>
      <c r="A15" s="10" t="s">
        <v>14</v>
      </c>
      <c r="B15" s="14">
        <v>1</v>
      </c>
      <c r="C15" s="14" t="s">
        <v>11</v>
      </c>
      <c r="D15" s="14"/>
      <c r="E15" s="17"/>
      <c r="F15" s="17">
        <v>180000000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6.5" thickBot="1">
      <c r="A16" s="197" t="s">
        <v>15</v>
      </c>
      <c r="B16" s="198"/>
      <c r="C16" s="198"/>
      <c r="D16" s="198"/>
      <c r="E16" s="199"/>
      <c r="F16" s="22">
        <v>7500000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6.5" thickTop="1">
      <c r="A17" s="178" t="s">
        <v>16</v>
      </c>
      <c r="B17" s="178"/>
      <c r="C17" s="178"/>
      <c r="D17" s="178"/>
      <c r="E17" s="178"/>
      <c r="F17" s="20">
        <f>SUM(F7:F16)</f>
        <v>364500000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>
      <c r="A18" s="1"/>
      <c r="B18" s="6"/>
      <c r="C18" s="6"/>
      <c r="D18" s="6"/>
      <c r="E18" s="6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>
      <c r="A19" s="176" t="s">
        <v>17</v>
      </c>
      <c r="B19" s="176"/>
      <c r="C19" s="176"/>
      <c r="D19" s="176"/>
      <c r="E19" s="176"/>
      <c r="F19" s="17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>
      <c r="A20" s="191" t="s">
        <v>2</v>
      </c>
      <c r="B20" s="192"/>
      <c r="C20" s="192"/>
      <c r="D20" s="192"/>
      <c r="E20" s="193"/>
      <c r="F20" s="18" t="s">
        <v>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>
      <c r="A21" s="194" t="s">
        <v>19</v>
      </c>
      <c r="B21" s="195"/>
      <c r="C21" s="195"/>
      <c r="D21" s="195"/>
      <c r="E21" s="196"/>
      <c r="F21" s="24">
        <v>150000000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>
      <c r="A22" s="194" t="s">
        <v>20</v>
      </c>
      <c r="B22" s="195"/>
      <c r="C22" s="195"/>
      <c r="D22" s="195"/>
      <c r="E22" s="196"/>
      <c r="F22" s="1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>
      <c r="A23" s="197" t="s">
        <v>21</v>
      </c>
      <c r="B23" s="198"/>
      <c r="C23" s="198"/>
      <c r="D23" s="198"/>
      <c r="E23" s="199"/>
      <c r="F23" s="1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>
      <c r="A24" s="10"/>
      <c r="B24" s="25"/>
      <c r="C24" s="25">
        <v>0.25</v>
      </c>
      <c r="D24" s="12">
        <v>180000000</v>
      </c>
      <c r="E24" s="15"/>
      <c r="F24" s="17">
        <f>+C24*D24</f>
        <v>45000000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>
      <c r="A25" s="10" t="s">
        <v>22</v>
      </c>
      <c r="B25" s="11"/>
      <c r="C25" s="11"/>
      <c r="D25" s="11"/>
      <c r="E25" s="16"/>
      <c r="F25" s="17">
        <f>+F9</f>
        <v>37500000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>
      <c r="A26" s="13" t="s">
        <v>23</v>
      </c>
      <c r="B26" s="14"/>
      <c r="C26" s="14"/>
      <c r="D26" s="14"/>
      <c r="E26" s="16"/>
      <c r="F26" s="17">
        <f>+F14</f>
        <v>30000000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6.5" thickBot="1">
      <c r="A27" s="13" t="s">
        <v>24</v>
      </c>
      <c r="B27" s="14"/>
      <c r="C27" s="14"/>
      <c r="D27" s="14"/>
      <c r="E27" s="16"/>
      <c r="F27" s="27">
        <f>+F16</f>
        <v>7500000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6.5" thickTop="1">
      <c r="A28" s="187" t="s">
        <v>25</v>
      </c>
      <c r="B28" s="188"/>
      <c r="C28" s="188"/>
      <c r="D28" s="188"/>
      <c r="E28" s="189"/>
      <c r="F28" s="26">
        <f>SUM(F24:F27)</f>
        <v>120000000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>
      <c r="A29" s="183" t="s">
        <v>26</v>
      </c>
      <c r="B29" s="184"/>
      <c r="C29" s="184"/>
      <c r="D29" s="184"/>
      <c r="E29" s="185"/>
      <c r="F29" s="17">
        <f>+F21-F28</f>
        <v>30000000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9.5" thickBot="1">
      <c r="A30" s="180" t="s">
        <v>27</v>
      </c>
      <c r="B30" s="181"/>
      <c r="C30" s="181"/>
      <c r="D30" s="181"/>
      <c r="E30" s="182"/>
      <c r="F30" s="28">
        <f>+F7</f>
        <v>109500000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9.5" thickTop="1">
      <c r="A31" s="178" t="s">
        <v>56</v>
      </c>
      <c r="B31" s="178"/>
      <c r="C31" s="178"/>
      <c r="D31" s="178"/>
      <c r="E31" s="178"/>
      <c r="F31" s="34">
        <f>+F30-F29</f>
        <v>79500000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>
      <c r="A32" s="1"/>
      <c r="B32" s="6"/>
      <c r="C32" s="6"/>
      <c r="D32" s="6"/>
      <c r="E32" s="6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.75">
      <c r="A33" s="179" t="s">
        <v>28</v>
      </c>
      <c r="B33" s="179"/>
      <c r="C33" s="179"/>
      <c r="D33" s="179"/>
      <c r="E33" s="179"/>
      <c r="F33" s="17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>
      <c r="A34" s="178" t="s">
        <v>31</v>
      </c>
      <c r="B34" s="178"/>
      <c r="C34" s="178"/>
      <c r="D34" s="178"/>
      <c r="E34" s="186" t="s">
        <v>29</v>
      </c>
      <c r="F34" s="18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>
      <c r="A35" s="1" t="s">
        <v>30</v>
      </c>
      <c r="B35" s="6"/>
      <c r="C35" s="6"/>
      <c r="D35" s="6"/>
      <c r="E35" s="6" t="s">
        <v>42</v>
      </c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.75">
      <c r="A36" s="4" t="s">
        <v>32</v>
      </c>
      <c r="B36" s="6"/>
      <c r="C36" s="6"/>
      <c r="D36" s="6">
        <f>+F30</f>
        <v>109500000</v>
      </c>
      <c r="E36" s="5" t="s">
        <v>43</v>
      </c>
      <c r="F36" s="6">
        <f>+F31</f>
        <v>79500000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.75">
      <c r="A37" s="1" t="s">
        <v>30</v>
      </c>
      <c r="B37" s="6"/>
      <c r="C37" s="6"/>
      <c r="D37" s="6"/>
      <c r="E37" s="5" t="s">
        <v>44</v>
      </c>
      <c r="F37" s="29">
        <f>+F47</f>
        <v>135000000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>
      <c r="A38" s="4" t="s">
        <v>33</v>
      </c>
      <c r="B38" s="6">
        <v>400</v>
      </c>
      <c r="C38" s="6">
        <v>1500000</v>
      </c>
      <c r="D38" s="6">
        <f>+B38*C38</f>
        <v>600000000</v>
      </c>
      <c r="E38" s="6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>
      <c r="A39" s="4" t="s">
        <v>34</v>
      </c>
      <c r="B39" s="6"/>
      <c r="C39" s="6"/>
      <c r="D39" s="9">
        <f>+C47</f>
        <v>427500000</v>
      </c>
      <c r="E39" s="6" t="s">
        <v>48</v>
      </c>
      <c r="F39" s="6">
        <f>+D54</f>
        <v>1140000000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>
      <c r="A40" s="4" t="s">
        <v>35</v>
      </c>
      <c r="B40" s="6"/>
      <c r="C40" s="6"/>
      <c r="D40" s="6">
        <f>+F26</f>
        <v>30000000</v>
      </c>
      <c r="E40" s="6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>
      <c r="A41" s="4" t="s">
        <v>36</v>
      </c>
      <c r="B41" s="6"/>
      <c r="C41" s="6"/>
      <c r="D41" s="6">
        <f>+F15</f>
        <v>180000000</v>
      </c>
      <c r="E41" s="6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>
      <c r="A42" s="4" t="s">
        <v>37</v>
      </c>
      <c r="B42" s="6"/>
      <c r="C42" s="6"/>
      <c r="D42" s="6">
        <f>+F16</f>
        <v>7500000</v>
      </c>
      <c r="E42" s="6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.75">
      <c r="A43" s="178" t="s">
        <v>38</v>
      </c>
      <c r="B43" s="178"/>
      <c r="C43" s="178"/>
      <c r="D43" s="35">
        <f>SUM(D36:D42)</f>
        <v>1354500000</v>
      </c>
      <c r="E43" s="30" t="s">
        <v>57</v>
      </c>
      <c r="F43" s="34">
        <f>SUM(F36:F42)</f>
        <v>1354500000</v>
      </c>
      <c r="G43" s="3">
        <f>+D43-F43</f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"/>
      <c r="B44" s="6"/>
      <c r="C44" s="6"/>
      <c r="D44" s="6"/>
      <c r="E44" s="6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" t="s">
        <v>40</v>
      </c>
      <c r="B45" s="6"/>
      <c r="C45" s="6">
        <v>390000000</v>
      </c>
      <c r="D45" s="6"/>
      <c r="E45" s="6" t="s">
        <v>45</v>
      </c>
      <c r="F45" s="6">
        <v>180000000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6.5" thickBot="1">
      <c r="A46" s="1" t="s">
        <v>41</v>
      </c>
      <c r="B46" s="6"/>
      <c r="C46" s="31">
        <f>+F25</f>
        <v>37500000</v>
      </c>
      <c r="D46" s="6"/>
      <c r="E46" s="6" t="s">
        <v>46</v>
      </c>
      <c r="F46" s="31">
        <f>+F24</f>
        <v>45000000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6.5" thickTop="1">
      <c r="A47" s="1" t="s">
        <v>39</v>
      </c>
      <c r="B47" s="6"/>
      <c r="C47" s="9">
        <f>+C45+C46</f>
        <v>427500000</v>
      </c>
      <c r="D47" s="6"/>
      <c r="E47" s="6" t="s">
        <v>47</v>
      </c>
      <c r="F47" s="9">
        <f>+F45-F46</f>
        <v>135000000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"/>
      <c r="B48" s="6"/>
      <c r="C48" s="6"/>
      <c r="D48" s="6"/>
      <c r="E48" s="6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76" t="s">
        <v>49</v>
      </c>
      <c r="B49" s="176"/>
      <c r="C49" s="176"/>
      <c r="D49" s="176"/>
      <c r="E49" s="6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177" t="s">
        <v>50</v>
      </c>
      <c r="B50" s="177"/>
      <c r="C50" s="177"/>
      <c r="D50" s="32" t="s">
        <v>55</v>
      </c>
      <c r="E50" s="6"/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>
      <c r="A51" s="1" t="s">
        <v>51</v>
      </c>
      <c r="B51" s="6">
        <v>400</v>
      </c>
      <c r="C51" s="6">
        <v>1500000</v>
      </c>
      <c r="D51" s="6">
        <f>+B51*C51</f>
        <v>600000000</v>
      </c>
      <c r="E51" s="6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>
      <c r="A52" s="1" t="s">
        <v>52</v>
      </c>
      <c r="B52" s="6"/>
      <c r="C52" s="6"/>
      <c r="D52" s="6">
        <v>390000000</v>
      </c>
      <c r="E52" s="6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>
      <c r="A53" s="1" t="s">
        <v>53</v>
      </c>
      <c r="B53" s="6"/>
      <c r="C53" s="6"/>
      <c r="D53" s="6">
        <v>150000000</v>
      </c>
      <c r="E53" s="6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>
      <c r="A54" s="178" t="s">
        <v>54</v>
      </c>
      <c r="B54" s="178"/>
      <c r="C54" s="178"/>
      <c r="D54" s="33">
        <f>SUM(D51:D53)</f>
        <v>1140000000</v>
      </c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>
      <c r="A55" s="1"/>
      <c r="B55" s="6"/>
      <c r="C55" s="6"/>
      <c r="D55" s="6"/>
      <c r="E55" s="6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>
      <c r="A56" s="1"/>
      <c r="B56" s="6"/>
      <c r="C56" s="6"/>
      <c r="D56" s="6"/>
      <c r="E56" s="6"/>
      <c r="F56" s="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>
      <c r="A57" s="1"/>
      <c r="B57" s="6"/>
      <c r="C57" s="6"/>
      <c r="D57" s="6"/>
      <c r="E57" s="6"/>
      <c r="F57" s="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>
      <c r="A58" s="1"/>
      <c r="B58" s="6"/>
      <c r="C58" s="6"/>
      <c r="D58" s="6"/>
      <c r="E58" s="6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>
      <c r="A59" s="1"/>
      <c r="B59" s="6"/>
      <c r="C59" s="6"/>
      <c r="D59" s="6"/>
      <c r="E59" s="6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</sheetData>
  <mergeCells count="24">
    <mergeCell ref="A1:F1"/>
    <mergeCell ref="A20:E20"/>
    <mergeCell ref="A21:E21"/>
    <mergeCell ref="A22:E22"/>
    <mergeCell ref="A23:E23"/>
    <mergeCell ref="A17:E17"/>
    <mergeCell ref="A7:E7"/>
    <mergeCell ref="A8:E8"/>
    <mergeCell ref="A9:E9"/>
    <mergeCell ref="A6:E6"/>
    <mergeCell ref="A14:E14"/>
    <mergeCell ref="A16:E16"/>
    <mergeCell ref="A19:F19"/>
    <mergeCell ref="A29:E29"/>
    <mergeCell ref="A43:C43"/>
    <mergeCell ref="A34:D34"/>
    <mergeCell ref="E34:F34"/>
    <mergeCell ref="A28:E28"/>
    <mergeCell ref="A49:D49"/>
    <mergeCell ref="A50:C50"/>
    <mergeCell ref="A54:C54"/>
    <mergeCell ref="A33:F33"/>
    <mergeCell ref="A30:E30"/>
    <mergeCell ref="A31:E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54"/>
  <sheetViews>
    <sheetView topLeftCell="A15" zoomScale="86" zoomScaleNormal="86" workbookViewId="0">
      <selection activeCell="D30" sqref="D30"/>
    </sheetView>
  </sheetViews>
  <sheetFormatPr defaultRowHeight="15"/>
  <cols>
    <col min="1" max="1" width="18.7109375" customWidth="1"/>
    <col min="2" max="2" width="35" bestFit="1" customWidth="1"/>
    <col min="3" max="3" width="23.28515625" customWidth="1"/>
    <col min="4" max="4" width="25.85546875" customWidth="1"/>
    <col min="5" max="5" width="27" customWidth="1"/>
    <col min="6" max="6" width="21.28515625" customWidth="1"/>
  </cols>
  <sheetData>
    <row r="1" spans="1:42" ht="20.25">
      <c r="A1" s="209" t="s">
        <v>114</v>
      </c>
      <c r="B1" s="209"/>
      <c r="C1" s="209"/>
      <c r="D1" s="209"/>
      <c r="E1" s="209"/>
      <c r="F1" s="20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7.25">
      <c r="A2" s="49"/>
      <c r="B2" s="49"/>
      <c r="C2" s="49"/>
      <c r="D2" s="49"/>
      <c r="E2" s="49"/>
      <c r="F2" s="4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7.25">
      <c r="A3" s="49" t="s">
        <v>58</v>
      </c>
      <c r="B3" s="49"/>
      <c r="C3" s="49"/>
      <c r="D3" s="49"/>
      <c r="E3" s="49"/>
      <c r="F3" s="4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7.25">
      <c r="A4" s="205" t="s">
        <v>59</v>
      </c>
      <c r="B4" s="205"/>
      <c r="C4" s="205"/>
      <c r="D4" s="205"/>
      <c r="E4" s="205"/>
      <c r="F4" s="20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7.25">
      <c r="A5" s="50" t="s">
        <v>60</v>
      </c>
      <c r="B5" s="50" t="s">
        <v>61</v>
      </c>
      <c r="C5" s="50" t="s">
        <v>62</v>
      </c>
      <c r="D5" s="50"/>
      <c r="E5" s="50" t="s">
        <v>63</v>
      </c>
      <c r="F5" s="50" t="s">
        <v>64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7.25">
      <c r="A6" s="51" t="s">
        <v>65</v>
      </c>
      <c r="B6" s="52">
        <f>+'jawaban kasus2'!D39</f>
        <v>427500000</v>
      </c>
      <c r="C6" s="51">
        <v>10</v>
      </c>
      <c r="D6" s="51" t="s">
        <v>69</v>
      </c>
      <c r="E6" s="53">
        <v>0.4</v>
      </c>
      <c r="F6" s="51" t="s">
        <v>70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7.25">
      <c r="A7" s="51" t="s">
        <v>66</v>
      </c>
      <c r="B7" s="52">
        <f>+'jawaban kasus2'!D40</f>
        <v>30000000</v>
      </c>
      <c r="C7" s="51">
        <v>6</v>
      </c>
      <c r="D7" s="51" t="s">
        <v>69</v>
      </c>
      <c r="E7" s="53">
        <v>0.25</v>
      </c>
      <c r="F7" s="51" t="s">
        <v>71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7.25">
      <c r="A8" s="51" t="s">
        <v>67</v>
      </c>
      <c r="B8" s="52">
        <f>+'jawaban kasus2'!D41</f>
        <v>180000000</v>
      </c>
      <c r="C8" s="51">
        <v>5</v>
      </c>
      <c r="D8" s="51" t="s">
        <v>69</v>
      </c>
      <c r="E8" s="53">
        <v>0.2</v>
      </c>
      <c r="F8" s="51" t="s">
        <v>72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7.25">
      <c r="A9" s="51" t="s">
        <v>68</v>
      </c>
      <c r="B9" s="52">
        <f>+'jawaban kasus2'!D42</f>
        <v>7500000</v>
      </c>
      <c r="C9" s="51">
        <v>6</v>
      </c>
      <c r="D9" s="51" t="s">
        <v>69</v>
      </c>
      <c r="E9" s="51">
        <v>0</v>
      </c>
      <c r="F9" s="51" t="s">
        <v>70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7.25">
      <c r="A10" s="49"/>
      <c r="B10" s="49"/>
      <c r="C10" s="49"/>
      <c r="D10" s="49"/>
      <c r="E10" s="49"/>
      <c r="F10" s="4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7.25">
      <c r="A11" s="54" t="s">
        <v>75</v>
      </c>
      <c r="B11" s="54"/>
      <c r="C11" s="49"/>
      <c r="D11" s="49"/>
      <c r="E11" s="49"/>
      <c r="F11" s="4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7.25">
      <c r="A12" s="54" t="s">
        <v>73</v>
      </c>
      <c r="B12" s="54"/>
      <c r="C12" s="49"/>
      <c r="D12" s="49"/>
      <c r="E12" s="49"/>
      <c r="F12" s="4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7.25">
      <c r="A13" s="54" t="s">
        <v>74</v>
      </c>
      <c r="B13" s="54"/>
      <c r="C13" s="49"/>
      <c r="D13" s="49"/>
      <c r="E13" s="49"/>
      <c r="F13" s="4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7.25">
      <c r="A14" s="49" t="s">
        <v>112</v>
      </c>
      <c r="B14" s="49"/>
      <c r="C14" s="49"/>
      <c r="D14" s="49"/>
      <c r="E14" s="49"/>
      <c r="F14" s="4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7.25">
      <c r="A15" s="49" t="s">
        <v>78</v>
      </c>
      <c r="B15" s="49"/>
      <c r="C15" s="49"/>
      <c r="D15" s="49"/>
      <c r="E15" s="49"/>
      <c r="F15" s="4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7.25">
      <c r="A16" s="49" t="s">
        <v>76</v>
      </c>
      <c r="B16" s="49"/>
      <c r="C16" s="49"/>
      <c r="D16" s="49"/>
      <c r="E16" s="49"/>
      <c r="F16" s="4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7.25">
      <c r="A17" s="49" t="s">
        <v>77</v>
      </c>
      <c r="B17" s="49"/>
      <c r="C17" s="49"/>
      <c r="D17" s="49"/>
      <c r="E17" s="49"/>
      <c r="F17" s="4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7.25">
      <c r="A18" s="49"/>
      <c r="B18" s="49"/>
      <c r="C18" s="49"/>
      <c r="D18" s="49"/>
      <c r="E18" s="49"/>
      <c r="F18" s="4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7.25">
      <c r="A19" s="206" t="s">
        <v>113</v>
      </c>
      <c r="B19" s="206"/>
      <c r="C19" s="206"/>
      <c r="D19" s="206"/>
      <c r="E19" s="206"/>
      <c r="F19" s="4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7.25">
      <c r="A20" s="55" t="s">
        <v>79</v>
      </c>
      <c r="B20" s="55"/>
      <c r="C20" s="49"/>
      <c r="D20" s="49"/>
      <c r="E20" s="49"/>
      <c r="F20" s="4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7.25">
      <c r="A21" s="207" t="s">
        <v>80</v>
      </c>
      <c r="B21" s="208"/>
      <c r="C21" s="52">
        <f>+'jawaban kasus2'!F36</f>
        <v>79500000</v>
      </c>
      <c r="D21" s="49"/>
      <c r="E21" s="49"/>
      <c r="F21" s="4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7.25">
      <c r="A22" s="51" t="s">
        <v>81</v>
      </c>
      <c r="B22" s="51"/>
      <c r="C22" s="51">
        <v>4</v>
      </c>
      <c r="D22" s="49" t="s">
        <v>69</v>
      </c>
      <c r="E22" s="49"/>
      <c r="F22" s="4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7.25">
      <c r="A23" s="51" t="s">
        <v>82</v>
      </c>
      <c r="B23" s="51"/>
      <c r="C23" s="53">
        <v>0.18</v>
      </c>
      <c r="D23" s="49"/>
      <c r="E23" s="49"/>
      <c r="F23" s="4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7.25">
      <c r="A24" s="51" t="s">
        <v>83</v>
      </c>
      <c r="B24" s="51"/>
      <c r="C24" s="51">
        <v>0</v>
      </c>
      <c r="D24" s="49"/>
      <c r="E24" s="49"/>
      <c r="F24" s="4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7.25">
      <c r="A25" s="207" t="s">
        <v>84</v>
      </c>
      <c r="B25" s="208"/>
      <c r="C25" s="56">
        <v>44194</v>
      </c>
      <c r="D25" s="49"/>
      <c r="E25" s="49"/>
      <c r="F25" s="4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7.25">
      <c r="A26" s="49"/>
      <c r="B26" s="49"/>
      <c r="C26" s="49"/>
      <c r="D26" s="49"/>
      <c r="E26" s="49"/>
      <c r="F26" s="4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7.25">
      <c r="A27" s="206" t="s">
        <v>85</v>
      </c>
      <c r="B27" s="206"/>
      <c r="C27" s="206"/>
      <c r="D27" s="49"/>
      <c r="E27" s="49"/>
      <c r="F27" s="4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7.25">
      <c r="A28" s="57" t="s">
        <v>86</v>
      </c>
      <c r="B28" s="57" t="s">
        <v>87</v>
      </c>
      <c r="C28" s="57" t="s">
        <v>88</v>
      </c>
      <c r="D28" s="57" t="s">
        <v>89</v>
      </c>
      <c r="E28" s="57" t="s">
        <v>90</v>
      </c>
      <c r="F28" s="57" t="s">
        <v>91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7.25">
      <c r="A29" s="51">
        <v>0</v>
      </c>
      <c r="B29" s="56">
        <f>+C25</f>
        <v>44194</v>
      </c>
      <c r="C29" s="58">
        <f>PMT($C$23,$C$22,$C$21)*-1</f>
        <v>29553224.338846717</v>
      </c>
      <c r="D29" s="58">
        <v>0</v>
      </c>
      <c r="E29" s="58">
        <v>0</v>
      </c>
      <c r="F29" s="59">
        <f>+C21</f>
        <v>79500000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7.25">
      <c r="A30" s="51">
        <v>1</v>
      </c>
      <c r="B30" s="56">
        <f>+B29+365</f>
        <v>44559</v>
      </c>
      <c r="C30" s="58">
        <f t="shared" ref="C30:C33" si="0">PMT($C$23,$C$22,$C$21)*-1</f>
        <v>29553224.338846717</v>
      </c>
      <c r="D30" s="58">
        <f t="shared" ref="D30:D33" si="1">PPMT($C$23,A30,$C$22,$C$21)*-1</f>
        <v>15243224.338846717</v>
      </c>
      <c r="E30" s="58">
        <f t="shared" ref="E30:E33" si="2">IPMT($C$23,A30,$C$22,$C$21)*-1</f>
        <v>14310000</v>
      </c>
      <c r="F30" s="59">
        <f>+F29-D30</f>
        <v>64256775.661153287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7.25">
      <c r="A31" s="51">
        <v>2</v>
      </c>
      <c r="B31" s="56">
        <f t="shared" ref="B31:B33" si="3">+B30+365</f>
        <v>44924</v>
      </c>
      <c r="C31" s="58">
        <f t="shared" si="0"/>
        <v>29553224.338846717</v>
      </c>
      <c r="D31" s="58">
        <f t="shared" si="1"/>
        <v>17987004.719839126</v>
      </c>
      <c r="E31" s="58">
        <f t="shared" si="2"/>
        <v>11566219.619007593</v>
      </c>
      <c r="F31" s="59">
        <f t="shared" ref="F31:F33" si="4">+F30-D31</f>
        <v>46269770.941314161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7.25">
      <c r="A32" s="51">
        <v>3</v>
      </c>
      <c r="B32" s="56">
        <f t="shared" si="3"/>
        <v>45289</v>
      </c>
      <c r="C32" s="58">
        <f t="shared" si="0"/>
        <v>29553224.338846717</v>
      </c>
      <c r="D32" s="58">
        <f t="shared" si="1"/>
        <v>21224665.569410168</v>
      </c>
      <c r="E32" s="58">
        <f t="shared" si="2"/>
        <v>8328558.7694365485</v>
      </c>
      <c r="F32" s="59">
        <f t="shared" si="4"/>
        <v>25045105.371903993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7.25">
      <c r="A33" s="51">
        <v>4</v>
      </c>
      <c r="B33" s="56">
        <f t="shared" si="3"/>
        <v>45654</v>
      </c>
      <c r="C33" s="58">
        <f t="shared" si="0"/>
        <v>29553224.338846717</v>
      </c>
      <c r="D33" s="58">
        <f t="shared" si="1"/>
        <v>25045105.371903997</v>
      </c>
      <c r="E33" s="58">
        <f t="shared" si="2"/>
        <v>4508118.9669427201</v>
      </c>
      <c r="F33" s="59">
        <f t="shared" si="4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7.25">
      <c r="A34" s="49"/>
      <c r="B34" s="49"/>
      <c r="C34" s="49"/>
      <c r="D34" s="49"/>
      <c r="E34" s="49"/>
      <c r="F34" s="4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7.25">
      <c r="A35" s="55" t="s">
        <v>92</v>
      </c>
      <c r="B35" s="55"/>
      <c r="C35" s="49"/>
      <c r="D35" s="49"/>
      <c r="E35" s="49"/>
      <c r="F35" s="4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7.25">
      <c r="A36" s="207" t="s">
        <v>80</v>
      </c>
      <c r="B36" s="208"/>
      <c r="C36" s="52">
        <f>+'jawaban kasus2'!F37</f>
        <v>135000000</v>
      </c>
      <c r="D36" s="49"/>
      <c r="E36" s="49"/>
      <c r="F36" s="4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7.25">
      <c r="A37" s="51" t="s">
        <v>81</v>
      </c>
      <c r="B37" s="51"/>
      <c r="C37" s="51">
        <v>5</v>
      </c>
      <c r="D37" s="49" t="s">
        <v>69</v>
      </c>
      <c r="E37" s="49"/>
      <c r="F37" s="4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7.25">
      <c r="A38" s="51" t="s">
        <v>82</v>
      </c>
      <c r="B38" s="51"/>
      <c r="C38" s="53">
        <v>0.16</v>
      </c>
      <c r="D38" s="49"/>
      <c r="E38" s="49"/>
      <c r="F38" s="4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7.25">
      <c r="A39" s="51" t="s">
        <v>83</v>
      </c>
      <c r="B39" s="51"/>
      <c r="C39" s="51">
        <v>0</v>
      </c>
      <c r="D39" s="49"/>
      <c r="E39" s="49"/>
      <c r="F39" s="4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7.25">
      <c r="A40" s="207" t="s">
        <v>84</v>
      </c>
      <c r="B40" s="208"/>
      <c r="C40" s="56">
        <v>44191</v>
      </c>
      <c r="D40" s="49"/>
      <c r="E40" s="49"/>
      <c r="F40" s="4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7.25">
      <c r="A41" s="49"/>
      <c r="B41" s="49"/>
      <c r="C41" s="49"/>
      <c r="D41" s="49"/>
      <c r="E41" s="49"/>
      <c r="F41" s="4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7.25">
      <c r="A42" s="206" t="s">
        <v>93</v>
      </c>
      <c r="B42" s="206"/>
      <c r="C42" s="206"/>
      <c r="D42" s="49"/>
      <c r="E42" s="49"/>
      <c r="F42" s="4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7.25">
      <c r="A43" s="57" t="s">
        <v>86</v>
      </c>
      <c r="B43" s="57" t="s">
        <v>87</v>
      </c>
      <c r="C43" s="57" t="s">
        <v>88</v>
      </c>
      <c r="D43" s="57" t="s">
        <v>89</v>
      </c>
      <c r="E43" s="57" t="s">
        <v>90</v>
      </c>
      <c r="F43" s="57" t="s">
        <v>91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7.25">
      <c r="A44" s="51">
        <v>0</v>
      </c>
      <c r="B44" s="56">
        <f>+C40</f>
        <v>44191</v>
      </c>
      <c r="C44" s="58">
        <f>PMT($C$38,$C$37,$C$36)*-1</f>
        <v>41230266.518412702</v>
      </c>
      <c r="D44" s="58">
        <v>0</v>
      </c>
      <c r="E44" s="58">
        <v>0</v>
      </c>
      <c r="F44" s="60">
        <f>+C36</f>
        <v>135000000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7.25">
      <c r="A45" s="51">
        <v>1</v>
      </c>
      <c r="B45" s="56">
        <f>+B44+365</f>
        <v>44556</v>
      </c>
      <c r="C45" s="58">
        <f t="shared" ref="C45:C49" si="5">PMT($C$38,$C$37,$C$36)*-1</f>
        <v>41230266.518412702</v>
      </c>
      <c r="D45" s="58">
        <f t="shared" ref="D45:D49" si="6">PPMT($C$38,A45,$C$37,$C$36)*-1</f>
        <v>19630266.518412702</v>
      </c>
      <c r="E45" s="58">
        <f t="shared" ref="E45:E49" si="7">IPMT($C$38,A45,$C$37,$C$36)*-1</f>
        <v>21600000</v>
      </c>
      <c r="F45" s="58">
        <f>+F44-D45</f>
        <v>115369733.48158729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7.25">
      <c r="A46" s="51">
        <v>2</v>
      </c>
      <c r="B46" s="56">
        <f t="shared" ref="B46:B49" si="8">+B45+365</f>
        <v>44921</v>
      </c>
      <c r="C46" s="58">
        <f t="shared" si="5"/>
        <v>41230266.518412702</v>
      </c>
      <c r="D46" s="58">
        <f t="shared" si="6"/>
        <v>22771109.161358729</v>
      </c>
      <c r="E46" s="58">
        <f t="shared" si="7"/>
        <v>18459157.357053973</v>
      </c>
      <c r="F46" s="58">
        <f t="shared" ref="F46:F49" si="9">+F45-D46</f>
        <v>92598624.320228562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7.25">
      <c r="A47" s="51">
        <v>3</v>
      </c>
      <c r="B47" s="56">
        <f t="shared" si="8"/>
        <v>45286</v>
      </c>
      <c r="C47" s="58">
        <f t="shared" si="5"/>
        <v>41230266.518412702</v>
      </c>
      <c r="D47" s="58">
        <f t="shared" si="6"/>
        <v>26414486.627176128</v>
      </c>
      <c r="E47" s="58">
        <f t="shared" si="7"/>
        <v>14815779.891236575</v>
      </c>
      <c r="F47" s="58">
        <f t="shared" si="9"/>
        <v>66184137.693052433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7.25">
      <c r="A48" s="51">
        <v>4</v>
      </c>
      <c r="B48" s="56">
        <f t="shared" si="8"/>
        <v>45651</v>
      </c>
      <c r="C48" s="58">
        <f t="shared" si="5"/>
        <v>41230266.518412702</v>
      </c>
      <c r="D48" s="58">
        <f t="shared" si="6"/>
        <v>30640804.487524308</v>
      </c>
      <c r="E48" s="58">
        <f t="shared" si="7"/>
        <v>10589462.030888392</v>
      </c>
      <c r="F48" s="58">
        <f t="shared" si="9"/>
        <v>35543333.205528125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7.25">
      <c r="A49" s="51">
        <v>5</v>
      </c>
      <c r="B49" s="56">
        <f t="shared" si="8"/>
        <v>46016</v>
      </c>
      <c r="C49" s="58">
        <f t="shared" si="5"/>
        <v>41230266.518412702</v>
      </c>
      <c r="D49" s="58">
        <f t="shared" si="6"/>
        <v>35543333.205528192</v>
      </c>
      <c r="E49" s="58">
        <f t="shared" si="7"/>
        <v>5686933.3128845077</v>
      </c>
      <c r="F49" s="58">
        <f t="shared" si="9"/>
        <v>-6.7055225372314453E-8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7.25">
      <c r="A50" s="49"/>
      <c r="B50" s="49"/>
      <c r="C50" s="49"/>
      <c r="D50" s="49"/>
      <c r="E50" s="49"/>
      <c r="F50" s="4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7.25">
      <c r="A51" s="49" t="s">
        <v>94</v>
      </c>
      <c r="B51" s="49"/>
      <c r="C51" s="49"/>
      <c r="D51" s="49"/>
      <c r="E51" s="49"/>
      <c r="F51" s="4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7.25">
      <c r="A52" s="49" t="s">
        <v>95</v>
      </c>
      <c r="B52" s="61">
        <f>+'jawaban kasus2'!D41</f>
        <v>180000000</v>
      </c>
      <c r="C52" s="49"/>
      <c r="D52" s="49"/>
      <c r="E52" s="49"/>
      <c r="F52" s="4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7.25">
      <c r="A53" s="49" t="s">
        <v>96</v>
      </c>
      <c r="B53" s="49">
        <v>5</v>
      </c>
      <c r="C53" s="49" t="s">
        <v>69</v>
      </c>
      <c r="D53" s="49"/>
      <c r="E53" s="49"/>
      <c r="F53" s="4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7.25">
      <c r="A54" s="49" t="s">
        <v>63</v>
      </c>
      <c r="B54" s="62">
        <f>+B52*C54</f>
        <v>36000000</v>
      </c>
      <c r="C54" s="63">
        <v>0.2</v>
      </c>
      <c r="D54" s="49"/>
      <c r="E54" s="49"/>
      <c r="F54" s="4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7.25">
      <c r="A55" s="49" t="s">
        <v>97</v>
      </c>
      <c r="B55" s="49" t="str">
        <f>+A13</f>
        <v>DDB :Double Declining Balance</v>
      </c>
      <c r="C55" s="49"/>
      <c r="D55" s="49"/>
      <c r="E55" s="49"/>
      <c r="F55" s="4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7.25">
      <c r="A56" s="49"/>
      <c r="B56" s="49"/>
      <c r="C56" s="49"/>
      <c r="D56" s="49"/>
      <c r="E56" s="49"/>
      <c r="F56" s="4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7.25">
      <c r="A57" s="203" t="s">
        <v>98</v>
      </c>
      <c r="B57" s="203"/>
      <c r="C57" s="203"/>
      <c r="D57" s="203"/>
      <c r="E57" s="203"/>
      <c r="F57" s="4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7.25">
      <c r="A58" s="64" t="s">
        <v>99</v>
      </c>
      <c r="B58" s="64" t="s">
        <v>69</v>
      </c>
      <c r="C58" s="64" t="s">
        <v>100</v>
      </c>
      <c r="D58" s="64" t="s">
        <v>101</v>
      </c>
      <c r="E58" s="64" t="s">
        <v>102</v>
      </c>
      <c r="F58" s="4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7.25">
      <c r="A59" s="64">
        <v>0</v>
      </c>
      <c r="B59" s="64">
        <v>2020</v>
      </c>
      <c r="C59" s="65">
        <v>0</v>
      </c>
      <c r="D59" s="64">
        <v>0</v>
      </c>
      <c r="E59" s="66">
        <f>+B52</f>
        <v>180000000</v>
      </c>
      <c r="F59" s="4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7.25">
      <c r="A60" s="64">
        <v>1</v>
      </c>
      <c r="B60" s="64">
        <f>+B59+1</f>
        <v>2021</v>
      </c>
      <c r="C60" s="67">
        <f t="shared" ref="C60:C64" si="10">DDB($B$52,$B$54,$B$53,A60)</f>
        <v>72000000</v>
      </c>
      <c r="D60" s="67">
        <f>+D59+C60</f>
        <v>72000000</v>
      </c>
      <c r="E60" s="67">
        <f>+E59-C60</f>
        <v>108000000</v>
      </c>
      <c r="F60" s="4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7.25">
      <c r="A61" s="64">
        <v>2</v>
      </c>
      <c r="B61" s="64">
        <f t="shared" ref="B61:B64" si="11">+B60+1</f>
        <v>2022</v>
      </c>
      <c r="C61" s="67">
        <f t="shared" si="10"/>
        <v>43200000</v>
      </c>
      <c r="D61" s="67">
        <f t="shared" ref="D61:D64" si="12">+D60+C61</f>
        <v>115200000</v>
      </c>
      <c r="E61" s="67">
        <f t="shared" ref="E61:E64" si="13">+E60-C61</f>
        <v>64800000</v>
      </c>
      <c r="F61" s="4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7.25">
      <c r="A62" s="64">
        <v>3</v>
      </c>
      <c r="B62" s="64">
        <f t="shared" si="11"/>
        <v>2023</v>
      </c>
      <c r="C62" s="67">
        <f t="shared" si="10"/>
        <v>25920000</v>
      </c>
      <c r="D62" s="67">
        <f t="shared" si="12"/>
        <v>141120000</v>
      </c>
      <c r="E62" s="67">
        <f t="shared" si="13"/>
        <v>38880000</v>
      </c>
      <c r="F62" s="4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7.25">
      <c r="A63" s="64">
        <v>4</v>
      </c>
      <c r="B63" s="64">
        <f t="shared" si="11"/>
        <v>2024</v>
      </c>
      <c r="C63" s="67">
        <f t="shared" si="10"/>
        <v>2880000</v>
      </c>
      <c r="D63" s="67">
        <f t="shared" si="12"/>
        <v>144000000</v>
      </c>
      <c r="E63" s="67">
        <f t="shared" si="13"/>
        <v>36000000</v>
      </c>
      <c r="F63" s="4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7.25">
      <c r="A64" s="64">
        <v>5</v>
      </c>
      <c r="B64" s="64">
        <f t="shared" si="11"/>
        <v>2025</v>
      </c>
      <c r="C64" s="67">
        <f t="shared" si="10"/>
        <v>0</v>
      </c>
      <c r="D64" s="67">
        <f t="shared" si="12"/>
        <v>144000000</v>
      </c>
      <c r="E64" s="68">
        <f t="shared" si="13"/>
        <v>36000000</v>
      </c>
      <c r="F64" s="4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7.25">
      <c r="A65" s="49"/>
      <c r="B65" s="49"/>
      <c r="C65" s="49"/>
      <c r="D65" s="49"/>
      <c r="E65" s="49"/>
      <c r="F65" s="4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7.25">
      <c r="A66" s="49" t="s">
        <v>103</v>
      </c>
      <c r="B66" s="49"/>
      <c r="C66" s="49"/>
      <c r="D66" s="49"/>
      <c r="E66" s="49"/>
      <c r="F66" s="4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7.25">
      <c r="A67" s="49" t="s">
        <v>104</v>
      </c>
      <c r="B67" s="61">
        <f>+'jawaban kasus2'!D39</f>
        <v>427500000</v>
      </c>
      <c r="C67" s="49"/>
      <c r="D67" s="49"/>
      <c r="E67" s="49"/>
      <c r="F67" s="4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7.25">
      <c r="A68" s="49" t="s">
        <v>96</v>
      </c>
      <c r="B68" s="49">
        <v>10</v>
      </c>
      <c r="C68" s="49" t="s">
        <v>69</v>
      </c>
      <c r="D68" s="49"/>
      <c r="E68" s="49"/>
      <c r="F68" s="4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7.25">
      <c r="A69" s="49" t="s">
        <v>63</v>
      </c>
      <c r="B69" s="62">
        <f>+B67*C69</f>
        <v>171000000</v>
      </c>
      <c r="C69" s="63">
        <v>0.4</v>
      </c>
      <c r="D69" s="49"/>
      <c r="E69" s="49"/>
      <c r="F69" s="4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7.25">
      <c r="A70" s="49" t="s">
        <v>97</v>
      </c>
      <c r="B70" s="49" t="str">
        <f>+A11</f>
        <v>SLN : Straight Line Methode</v>
      </c>
      <c r="C70" s="49"/>
      <c r="D70" s="49"/>
      <c r="E70" s="49"/>
      <c r="F70" s="4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7.25">
      <c r="A71" s="203" t="s">
        <v>105</v>
      </c>
      <c r="B71" s="203"/>
      <c r="C71" s="203"/>
      <c r="D71" s="203"/>
      <c r="E71" s="203"/>
      <c r="F71" s="4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7.25">
      <c r="A72" s="64" t="s">
        <v>99</v>
      </c>
      <c r="B72" s="64" t="s">
        <v>69</v>
      </c>
      <c r="C72" s="64" t="s">
        <v>100</v>
      </c>
      <c r="D72" s="64" t="s">
        <v>101</v>
      </c>
      <c r="E72" s="64" t="s">
        <v>102</v>
      </c>
      <c r="F72" s="4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7.25">
      <c r="A73" s="64">
        <v>0</v>
      </c>
      <c r="B73" s="64">
        <v>2020</v>
      </c>
      <c r="C73" s="67">
        <v>0</v>
      </c>
      <c r="D73" s="64">
        <v>0</v>
      </c>
      <c r="E73" s="66">
        <f>+B67</f>
        <v>427500000</v>
      </c>
      <c r="F73" s="4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7.25">
      <c r="A74" s="64">
        <v>1</v>
      </c>
      <c r="B74" s="64">
        <f>+B73+1</f>
        <v>2021</v>
      </c>
      <c r="C74" s="67">
        <f t="shared" ref="C74:C83" si="14">SLN($B$67,$B$69,$B$68)</f>
        <v>25650000</v>
      </c>
      <c r="D74" s="67">
        <f>+D73+C74</f>
        <v>25650000</v>
      </c>
      <c r="E74" s="67">
        <f>+E73-C74</f>
        <v>401850000</v>
      </c>
      <c r="F74" s="4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7.25">
      <c r="A75" s="64">
        <v>2</v>
      </c>
      <c r="B75" s="64">
        <f t="shared" ref="B75:B83" si="15">+B74+1</f>
        <v>2022</v>
      </c>
      <c r="C75" s="67">
        <f t="shared" si="14"/>
        <v>25650000</v>
      </c>
      <c r="D75" s="67">
        <f t="shared" ref="D75:D83" si="16">+D74+C75</f>
        <v>51300000</v>
      </c>
      <c r="E75" s="67">
        <f t="shared" ref="E75:E83" si="17">+E74-C75</f>
        <v>376200000</v>
      </c>
      <c r="F75" s="4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7.25">
      <c r="A76" s="64">
        <v>3</v>
      </c>
      <c r="B76" s="64">
        <f t="shared" si="15"/>
        <v>2023</v>
      </c>
      <c r="C76" s="67">
        <f t="shared" si="14"/>
        <v>25650000</v>
      </c>
      <c r="D76" s="67">
        <f t="shared" si="16"/>
        <v>76950000</v>
      </c>
      <c r="E76" s="67">
        <f t="shared" si="17"/>
        <v>350550000</v>
      </c>
      <c r="F76" s="4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7.25">
      <c r="A77" s="64">
        <v>4</v>
      </c>
      <c r="B77" s="64">
        <f t="shared" si="15"/>
        <v>2024</v>
      </c>
      <c r="C77" s="67">
        <f t="shared" si="14"/>
        <v>25650000</v>
      </c>
      <c r="D77" s="67">
        <f t="shared" si="16"/>
        <v>102600000</v>
      </c>
      <c r="E77" s="67">
        <f t="shared" si="17"/>
        <v>324900000</v>
      </c>
      <c r="F77" s="4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7.25">
      <c r="A78" s="64">
        <v>5</v>
      </c>
      <c r="B78" s="64">
        <f t="shared" si="15"/>
        <v>2025</v>
      </c>
      <c r="C78" s="67">
        <f t="shared" si="14"/>
        <v>25650000</v>
      </c>
      <c r="D78" s="67">
        <f t="shared" si="16"/>
        <v>128250000</v>
      </c>
      <c r="E78" s="67">
        <f t="shared" si="17"/>
        <v>299250000</v>
      </c>
      <c r="F78" s="4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7.25">
      <c r="A79" s="64">
        <v>6</v>
      </c>
      <c r="B79" s="64">
        <f t="shared" si="15"/>
        <v>2026</v>
      </c>
      <c r="C79" s="67">
        <f t="shared" si="14"/>
        <v>25650000</v>
      </c>
      <c r="D79" s="67">
        <f t="shared" si="16"/>
        <v>153900000</v>
      </c>
      <c r="E79" s="67">
        <f t="shared" si="17"/>
        <v>273600000</v>
      </c>
      <c r="F79" s="4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7.25">
      <c r="A80" s="64">
        <v>7</v>
      </c>
      <c r="B80" s="64">
        <f t="shared" si="15"/>
        <v>2027</v>
      </c>
      <c r="C80" s="67">
        <f t="shared" si="14"/>
        <v>25650000</v>
      </c>
      <c r="D80" s="67">
        <f t="shared" si="16"/>
        <v>179550000</v>
      </c>
      <c r="E80" s="67">
        <f t="shared" si="17"/>
        <v>247950000</v>
      </c>
      <c r="F80" s="4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7.25">
      <c r="A81" s="64">
        <v>8</v>
      </c>
      <c r="B81" s="64">
        <f t="shared" si="15"/>
        <v>2028</v>
      </c>
      <c r="C81" s="67">
        <f t="shared" si="14"/>
        <v>25650000</v>
      </c>
      <c r="D81" s="67">
        <f t="shared" si="16"/>
        <v>205200000</v>
      </c>
      <c r="E81" s="67">
        <f t="shared" si="17"/>
        <v>222300000</v>
      </c>
      <c r="F81" s="4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7.25">
      <c r="A82" s="64">
        <v>9</v>
      </c>
      <c r="B82" s="64">
        <f t="shared" si="15"/>
        <v>2029</v>
      </c>
      <c r="C82" s="67">
        <f t="shared" si="14"/>
        <v>25650000</v>
      </c>
      <c r="D82" s="67">
        <f t="shared" si="16"/>
        <v>230850000</v>
      </c>
      <c r="E82" s="67">
        <f t="shared" si="17"/>
        <v>196650000</v>
      </c>
      <c r="F82" s="4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7.25">
      <c r="A83" s="64">
        <v>10</v>
      </c>
      <c r="B83" s="64">
        <f t="shared" si="15"/>
        <v>2030</v>
      </c>
      <c r="C83" s="67">
        <f t="shared" si="14"/>
        <v>25650000</v>
      </c>
      <c r="D83" s="67">
        <f t="shared" si="16"/>
        <v>256500000</v>
      </c>
      <c r="E83" s="68">
        <f t="shared" si="17"/>
        <v>171000000</v>
      </c>
      <c r="F83" s="4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7.25">
      <c r="A84" s="49"/>
      <c r="B84" s="49"/>
      <c r="C84" s="49"/>
      <c r="D84" s="49"/>
      <c r="E84" s="49"/>
      <c r="F84" s="4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7.25">
      <c r="A85" s="49" t="s">
        <v>106</v>
      </c>
      <c r="B85" s="49"/>
      <c r="C85" s="49"/>
      <c r="D85" s="49"/>
      <c r="E85" s="49"/>
      <c r="F85" s="4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7.25">
      <c r="A86" s="49" t="s">
        <v>107</v>
      </c>
      <c r="B86" s="61">
        <f>+'jawaban kasus2'!D40</f>
        <v>30000000</v>
      </c>
      <c r="C86" s="49"/>
      <c r="D86" s="49"/>
      <c r="E86" s="49"/>
      <c r="F86" s="4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7.25">
      <c r="A87" s="49" t="s">
        <v>96</v>
      </c>
      <c r="B87" s="49">
        <v>6</v>
      </c>
      <c r="C87" s="49" t="s">
        <v>69</v>
      </c>
      <c r="D87" s="49"/>
      <c r="E87" s="49"/>
      <c r="F87" s="4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7.25">
      <c r="A88" s="49" t="s">
        <v>63</v>
      </c>
      <c r="B88" s="62">
        <f>+B86*C88</f>
        <v>7500000</v>
      </c>
      <c r="C88" s="63">
        <v>0.25</v>
      </c>
      <c r="D88" s="49"/>
      <c r="E88" s="49"/>
      <c r="F88" s="4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7.25">
      <c r="A89" s="49" t="s">
        <v>97</v>
      </c>
      <c r="B89" s="49" t="str">
        <f>+A12</f>
        <v>SYD : Sum of the Year Digit</v>
      </c>
      <c r="C89" s="49"/>
      <c r="D89" s="49"/>
      <c r="E89" s="49"/>
      <c r="F89" s="4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7.25">
      <c r="A90" s="203" t="s">
        <v>108</v>
      </c>
      <c r="B90" s="203"/>
      <c r="C90" s="203"/>
      <c r="D90" s="203"/>
      <c r="E90" s="203"/>
      <c r="F90" s="4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7.25">
      <c r="A91" s="64" t="s">
        <v>99</v>
      </c>
      <c r="B91" s="64" t="s">
        <v>69</v>
      </c>
      <c r="C91" s="64" t="s">
        <v>100</v>
      </c>
      <c r="D91" s="64" t="s">
        <v>101</v>
      </c>
      <c r="E91" s="64" t="s">
        <v>102</v>
      </c>
      <c r="F91" s="4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7.25">
      <c r="A92" s="64">
        <v>0</v>
      </c>
      <c r="B92" s="64">
        <v>2020</v>
      </c>
      <c r="C92" s="64">
        <v>0</v>
      </c>
      <c r="D92" s="64">
        <v>0</v>
      </c>
      <c r="E92" s="66">
        <f>+B86</f>
        <v>30000000</v>
      </c>
      <c r="F92" s="4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7.25">
      <c r="A93" s="64">
        <v>1</v>
      </c>
      <c r="B93" s="64">
        <f>+B92+1</f>
        <v>2021</v>
      </c>
      <c r="C93" s="67">
        <f>SYD($B$86,$B$88,$B$87,A93)</f>
        <v>6428571.4285714282</v>
      </c>
      <c r="D93" s="67">
        <f>+D92+C93</f>
        <v>6428571.4285714282</v>
      </c>
      <c r="E93" s="67">
        <f>+E92-C93</f>
        <v>23571428.571428571</v>
      </c>
      <c r="F93" s="4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7.25">
      <c r="A94" s="64">
        <v>2</v>
      </c>
      <c r="B94" s="64">
        <f t="shared" ref="B94:B98" si="18">+B93+1</f>
        <v>2022</v>
      </c>
      <c r="C94" s="67">
        <f t="shared" ref="C94:C98" si="19">SYD($B$86,$B$88,$B$87,A94)</f>
        <v>5357142.8571428573</v>
      </c>
      <c r="D94" s="67">
        <f t="shared" ref="D94:D98" si="20">+D93+C94</f>
        <v>11785714.285714285</v>
      </c>
      <c r="E94" s="67">
        <f t="shared" ref="E94:E98" si="21">+E93-C94</f>
        <v>18214285.714285713</v>
      </c>
      <c r="F94" s="4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7.25">
      <c r="A95" s="64">
        <v>3</v>
      </c>
      <c r="B95" s="64">
        <f t="shared" si="18"/>
        <v>2023</v>
      </c>
      <c r="C95" s="67">
        <f t="shared" si="19"/>
        <v>4285714.2857142854</v>
      </c>
      <c r="D95" s="67">
        <f t="shared" si="20"/>
        <v>16071428.571428571</v>
      </c>
      <c r="E95" s="67">
        <f t="shared" si="21"/>
        <v>13928571.428571427</v>
      </c>
      <c r="F95" s="4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7.25">
      <c r="A96" s="64">
        <v>4</v>
      </c>
      <c r="B96" s="64">
        <f t="shared" si="18"/>
        <v>2024</v>
      </c>
      <c r="C96" s="67">
        <f t="shared" si="19"/>
        <v>3214285.7142857141</v>
      </c>
      <c r="D96" s="67">
        <f t="shared" si="20"/>
        <v>19285714.285714284</v>
      </c>
      <c r="E96" s="67">
        <f t="shared" si="21"/>
        <v>10714285.714285713</v>
      </c>
      <c r="F96" s="4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7.25">
      <c r="A97" s="64">
        <v>5</v>
      </c>
      <c r="B97" s="64">
        <f t="shared" si="18"/>
        <v>2025</v>
      </c>
      <c r="C97" s="67">
        <f t="shared" si="19"/>
        <v>2142857.1428571427</v>
      </c>
      <c r="D97" s="67">
        <f t="shared" si="20"/>
        <v>21428571.428571425</v>
      </c>
      <c r="E97" s="67">
        <f t="shared" si="21"/>
        <v>8571428.5714285709</v>
      </c>
      <c r="F97" s="4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7.25">
      <c r="A98" s="64">
        <v>6</v>
      </c>
      <c r="B98" s="64">
        <f t="shared" si="18"/>
        <v>2026</v>
      </c>
      <c r="C98" s="67">
        <f t="shared" si="19"/>
        <v>1071428.5714285714</v>
      </c>
      <c r="D98" s="67">
        <f t="shared" si="20"/>
        <v>22499999.999999996</v>
      </c>
      <c r="E98" s="68">
        <f t="shared" si="21"/>
        <v>7500000</v>
      </c>
      <c r="F98" s="4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7.25">
      <c r="A99" s="49"/>
      <c r="B99" s="49"/>
      <c r="C99" s="49"/>
      <c r="D99" s="49"/>
      <c r="E99" s="49"/>
      <c r="F99" s="4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7.25">
      <c r="A100" s="49" t="s">
        <v>109</v>
      </c>
      <c r="B100" s="49"/>
      <c r="C100" s="49"/>
      <c r="D100" s="49"/>
      <c r="E100" s="49"/>
      <c r="F100" s="4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7.25">
      <c r="A101" s="49" t="s">
        <v>110</v>
      </c>
      <c r="B101" s="61">
        <f>+'jawaban kasus2'!D42</f>
        <v>7500000</v>
      </c>
      <c r="C101" s="49"/>
      <c r="D101" s="49"/>
      <c r="E101" s="49"/>
      <c r="F101" s="4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7.25">
      <c r="A102" s="49" t="s">
        <v>96</v>
      </c>
      <c r="B102" s="49">
        <v>6</v>
      </c>
      <c r="C102" s="49" t="s">
        <v>69</v>
      </c>
      <c r="D102" s="49"/>
      <c r="E102" s="49"/>
      <c r="F102" s="4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7.25">
      <c r="A103" s="49" t="s">
        <v>63</v>
      </c>
      <c r="B103" s="69">
        <f>+B101*C103</f>
        <v>0</v>
      </c>
      <c r="C103" s="63">
        <v>0</v>
      </c>
      <c r="D103" s="49"/>
      <c r="E103" s="49"/>
      <c r="F103" s="4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7.25">
      <c r="A104" s="49" t="s">
        <v>97</v>
      </c>
      <c r="B104" s="49" t="s">
        <v>70</v>
      </c>
      <c r="C104" s="49"/>
      <c r="D104" s="49"/>
      <c r="E104" s="49"/>
      <c r="F104" s="4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7.25">
      <c r="A105" s="204" t="s">
        <v>111</v>
      </c>
      <c r="B105" s="204"/>
      <c r="C105" s="204"/>
      <c r="D105" s="204"/>
      <c r="E105" s="204"/>
      <c r="F105" s="4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7.25">
      <c r="A106" s="64" t="s">
        <v>99</v>
      </c>
      <c r="B106" s="64" t="s">
        <v>69</v>
      </c>
      <c r="C106" s="64" t="s">
        <v>100</v>
      </c>
      <c r="D106" s="64" t="s">
        <v>101</v>
      </c>
      <c r="E106" s="64" t="s">
        <v>102</v>
      </c>
      <c r="F106" s="4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7.25">
      <c r="A107" s="64">
        <v>0</v>
      </c>
      <c r="B107" s="64">
        <v>2020</v>
      </c>
      <c r="C107" s="64">
        <v>0</v>
      </c>
      <c r="D107" s="64">
        <v>0</v>
      </c>
      <c r="E107" s="66">
        <f>+B101</f>
        <v>7500000</v>
      </c>
      <c r="F107" s="4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7.25">
      <c r="A108" s="64">
        <v>1</v>
      </c>
      <c r="B108" s="64">
        <f>+B107+1</f>
        <v>2021</v>
      </c>
      <c r="C108" s="67">
        <f>SLN($B$101,$B$103,$B$102)</f>
        <v>1250000</v>
      </c>
      <c r="D108" s="67">
        <f>+D107+C108</f>
        <v>1250000</v>
      </c>
      <c r="E108" s="67">
        <f>+E107-C108</f>
        <v>6250000</v>
      </c>
      <c r="F108" s="4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7.25">
      <c r="A109" s="64">
        <v>2</v>
      </c>
      <c r="B109" s="64">
        <f t="shared" ref="B109:B113" si="22">+B108+1</f>
        <v>2022</v>
      </c>
      <c r="C109" s="67">
        <f t="shared" ref="C109:C113" si="23">SLN($B$101,$B$103,$B$102)</f>
        <v>1250000</v>
      </c>
      <c r="D109" s="67">
        <f t="shared" ref="D109:D113" si="24">+D108+C109</f>
        <v>2500000</v>
      </c>
      <c r="E109" s="67">
        <f t="shared" ref="E109:E113" si="25">+E108-C109</f>
        <v>5000000</v>
      </c>
      <c r="F109" s="4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7.25">
      <c r="A110" s="64">
        <v>3</v>
      </c>
      <c r="B110" s="64">
        <f t="shared" si="22"/>
        <v>2023</v>
      </c>
      <c r="C110" s="67">
        <f t="shared" si="23"/>
        <v>1250000</v>
      </c>
      <c r="D110" s="67">
        <f t="shared" si="24"/>
        <v>3750000</v>
      </c>
      <c r="E110" s="67">
        <f t="shared" si="25"/>
        <v>3750000</v>
      </c>
      <c r="F110" s="4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7.25">
      <c r="A111" s="64">
        <v>4</v>
      </c>
      <c r="B111" s="64">
        <f t="shared" si="22"/>
        <v>2024</v>
      </c>
      <c r="C111" s="67">
        <f t="shared" si="23"/>
        <v>1250000</v>
      </c>
      <c r="D111" s="67">
        <f t="shared" si="24"/>
        <v>5000000</v>
      </c>
      <c r="E111" s="67">
        <f t="shared" si="25"/>
        <v>2500000</v>
      </c>
      <c r="F111" s="4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7.25">
      <c r="A112" s="64">
        <v>5</v>
      </c>
      <c r="B112" s="64">
        <f t="shared" si="22"/>
        <v>2025</v>
      </c>
      <c r="C112" s="67">
        <f t="shared" si="23"/>
        <v>1250000</v>
      </c>
      <c r="D112" s="67">
        <f t="shared" si="24"/>
        <v>6250000</v>
      </c>
      <c r="E112" s="67">
        <f t="shared" si="25"/>
        <v>1250000</v>
      </c>
      <c r="F112" s="4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7.25">
      <c r="A113" s="64">
        <v>6</v>
      </c>
      <c r="B113" s="64">
        <f t="shared" si="22"/>
        <v>2026</v>
      </c>
      <c r="C113" s="67">
        <f t="shared" si="23"/>
        <v>1250000</v>
      </c>
      <c r="D113" s="67">
        <f t="shared" si="24"/>
        <v>7500000</v>
      </c>
      <c r="E113" s="70">
        <f t="shared" si="25"/>
        <v>0</v>
      </c>
      <c r="F113" s="4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7.25">
      <c r="A114" s="49"/>
      <c r="B114" s="49"/>
      <c r="C114" s="49"/>
      <c r="D114" s="49"/>
      <c r="E114" s="49"/>
      <c r="F114" s="4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7.25">
      <c r="A115" s="49"/>
      <c r="B115" s="49"/>
      <c r="C115" s="49"/>
      <c r="D115" s="49"/>
      <c r="E115" s="49"/>
      <c r="F115" s="4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7.25">
      <c r="A116" s="49"/>
      <c r="B116" s="49"/>
      <c r="C116" s="49"/>
      <c r="D116" s="49"/>
      <c r="E116" s="49"/>
      <c r="F116" s="4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7.25">
      <c r="A117" s="49"/>
      <c r="B117" s="49"/>
      <c r="C117" s="49"/>
      <c r="D117" s="49"/>
      <c r="E117" s="49"/>
      <c r="F117" s="4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7.25">
      <c r="A118" s="49"/>
      <c r="B118" s="49"/>
      <c r="C118" s="49"/>
      <c r="D118" s="49"/>
      <c r="E118" s="49"/>
      <c r="F118" s="4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7.25">
      <c r="A119" s="49"/>
      <c r="B119" s="49"/>
      <c r="C119" s="49"/>
      <c r="D119" s="49"/>
      <c r="E119" s="49"/>
      <c r="F119" s="4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7.25">
      <c r="A120" s="49"/>
      <c r="B120" s="49"/>
      <c r="C120" s="49"/>
      <c r="D120" s="49"/>
      <c r="E120" s="49"/>
      <c r="F120" s="4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7.25">
      <c r="A121" s="49"/>
      <c r="B121" s="49"/>
      <c r="C121" s="49"/>
      <c r="D121" s="49"/>
      <c r="E121" s="49"/>
      <c r="F121" s="4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7.25">
      <c r="A122" s="49"/>
      <c r="B122" s="49"/>
      <c r="C122" s="49"/>
      <c r="D122" s="49"/>
      <c r="E122" s="49"/>
      <c r="F122" s="4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7.25">
      <c r="A123" s="49"/>
      <c r="B123" s="49"/>
      <c r="C123" s="49"/>
      <c r="D123" s="49"/>
      <c r="E123" s="49"/>
      <c r="F123" s="4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7.25">
      <c r="A124" s="49"/>
      <c r="B124" s="49"/>
      <c r="C124" s="49"/>
      <c r="D124" s="49"/>
      <c r="E124" s="49"/>
      <c r="F124" s="4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7.25">
      <c r="A125" s="49"/>
      <c r="B125" s="49"/>
      <c r="C125" s="49"/>
      <c r="D125" s="49"/>
      <c r="E125" s="49"/>
      <c r="F125" s="4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7.25">
      <c r="A126" s="49"/>
      <c r="B126" s="49"/>
      <c r="C126" s="49"/>
      <c r="D126" s="49"/>
      <c r="E126" s="49"/>
      <c r="F126" s="4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7.25">
      <c r="A127" s="49"/>
      <c r="B127" s="49"/>
      <c r="C127" s="49"/>
      <c r="D127" s="49"/>
      <c r="E127" s="49"/>
      <c r="F127" s="4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7.25">
      <c r="A128" s="49"/>
      <c r="B128" s="49"/>
      <c r="C128" s="49"/>
      <c r="D128" s="49"/>
      <c r="E128" s="49"/>
      <c r="F128" s="4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7.25">
      <c r="A129" s="49"/>
      <c r="B129" s="49"/>
      <c r="C129" s="49"/>
      <c r="D129" s="49"/>
      <c r="E129" s="49"/>
      <c r="F129" s="4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7.25">
      <c r="A130" s="49"/>
      <c r="B130" s="49"/>
      <c r="C130" s="49"/>
      <c r="D130" s="49"/>
      <c r="E130" s="49"/>
      <c r="F130" s="4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7.25">
      <c r="A131" s="49"/>
      <c r="B131" s="49"/>
      <c r="C131" s="49"/>
      <c r="D131" s="49"/>
      <c r="E131" s="49"/>
      <c r="F131" s="4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7.25">
      <c r="A132" s="49"/>
      <c r="B132" s="49"/>
      <c r="C132" s="49"/>
      <c r="D132" s="49"/>
      <c r="E132" s="49"/>
      <c r="F132" s="4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7.25">
      <c r="A133" s="49"/>
      <c r="B133" s="49"/>
      <c r="C133" s="49"/>
      <c r="D133" s="49"/>
      <c r="E133" s="49"/>
      <c r="F133" s="4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7.25">
      <c r="A134" s="49"/>
      <c r="B134" s="49"/>
      <c r="C134" s="49"/>
      <c r="D134" s="49"/>
      <c r="E134" s="49"/>
      <c r="F134" s="4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7.25">
      <c r="A135" s="49"/>
      <c r="B135" s="49"/>
      <c r="C135" s="49"/>
      <c r="D135" s="49"/>
      <c r="E135" s="49"/>
      <c r="F135" s="4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7.25">
      <c r="A136" s="49"/>
      <c r="B136" s="49"/>
      <c r="C136" s="49"/>
      <c r="D136" s="49"/>
      <c r="E136" s="49"/>
      <c r="F136" s="4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7.25">
      <c r="A137" s="49"/>
      <c r="B137" s="49"/>
      <c r="C137" s="49"/>
      <c r="D137" s="49"/>
      <c r="E137" s="49"/>
      <c r="F137" s="4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7.25">
      <c r="A138" s="49"/>
      <c r="B138" s="49"/>
      <c r="C138" s="49"/>
      <c r="D138" s="49"/>
      <c r="E138" s="49"/>
      <c r="F138" s="4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7.25">
      <c r="A139" s="49"/>
      <c r="B139" s="49"/>
      <c r="C139" s="49"/>
      <c r="D139" s="49"/>
      <c r="E139" s="49"/>
      <c r="F139" s="4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7.25">
      <c r="A140" s="49"/>
      <c r="B140" s="49"/>
      <c r="C140" s="49"/>
      <c r="D140" s="49"/>
      <c r="E140" s="49"/>
      <c r="F140" s="4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7.25">
      <c r="A141" s="49"/>
      <c r="B141" s="49"/>
      <c r="C141" s="49"/>
      <c r="D141" s="49"/>
      <c r="E141" s="49"/>
      <c r="F141" s="4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7.25">
      <c r="A142" s="49"/>
      <c r="B142" s="49"/>
      <c r="C142" s="49"/>
      <c r="D142" s="49"/>
      <c r="E142" s="49"/>
      <c r="F142" s="4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7.25">
      <c r="A143" s="49"/>
      <c r="B143" s="49"/>
      <c r="C143" s="49"/>
      <c r="D143" s="49"/>
      <c r="E143" s="49"/>
      <c r="F143" s="4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7.25">
      <c r="A144" s="49"/>
      <c r="B144" s="49"/>
      <c r="C144" s="49"/>
      <c r="D144" s="49"/>
      <c r="E144" s="49"/>
      <c r="F144" s="4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7.25">
      <c r="A145" s="49"/>
      <c r="B145" s="49"/>
      <c r="C145" s="49"/>
      <c r="D145" s="49"/>
      <c r="E145" s="49"/>
      <c r="F145" s="4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7.25">
      <c r="A146" s="49"/>
      <c r="B146" s="49"/>
      <c r="C146" s="49"/>
      <c r="D146" s="49"/>
      <c r="E146" s="49"/>
      <c r="F146" s="4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7.25">
      <c r="A147" s="49"/>
      <c r="B147" s="49"/>
      <c r="C147" s="49"/>
      <c r="D147" s="49"/>
      <c r="E147" s="49"/>
      <c r="F147" s="4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7.25">
      <c r="A148" s="49"/>
      <c r="B148" s="49"/>
      <c r="C148" s="49"/>
      <c r="D148" s="49"/>
      <c r="E148" s="49"/>
      <c r="F148" s="4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7.25">
      <c r="A149" s="49"/>
      <c r="B149" s="49"/>
      <c r="C149" s="49"/>
      <c r="D149" s="49"/>
      <c r="E149" s="49"/>
      <c r="F149" s="4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7.25">
      <c r="A150" s="49"/>
      <c r="B150" s="49"/>
      <c r="C150" s="49"/>
      <c r="D150" s="49"/>
      <c r="E150" s="49"/>
      <c r="F150" s="4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</sheetData>
  <mergeCells count="13">
    <mergeCell ref="A1:F1"/>
    <mergeCell ref="A40:B40"/>
    <mergeCell ref="A42:C42"/>
    <mergeCell ref="A57:E57"/>
    <mergeCell ref="A71:E71"/>
    <mergeCell ref="A90:E90"/>
    <mergeCell ref="A105:E105"/>
    <mergeCell ref="A4:F4"/>
    <mergeCell ref="A19:E19"/>
    <mergeCell ref="A27:C27"/>
    <mergeCell ref="A21:B21"/>
    <mergeCell ref="A25:B25"/>
    <mergeCell ref="A36:B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topLeftCell="A32" zoomScale="136" zoomScaleNormal="136" workbookViewId="0">
      <selection activeCell="A31" sqref="A31"/>
    </sheetView>
  </sheetViews>
  <sheetFormatPr defaultRowHeight="15"/>
  <cols>
    <col min="1" max="1" width="33.140625" customWidth="1"/>
    <col min="2" max="2" width="19" customWidth="1"/>
    <col min="3" max="3" width="14.42578125" customWidth="1"/>
    <col min="4" max="4" width="18.42578125" customWidth="1"/>
    <col min="6" max="6" width="26.42578125" customWidth="1"/>
    <col min="7" max="7" width="14" bestFit="1" customWidth="1"/>
  </cols>
  <sheetData>
    <row r="1" spans="1:12" ht="18.75">
      <c r="A1" s="179" t="s">
        <v>200</v>
      </c>
      <c r="B1" s="179"/>
      <c r="C1" s="179"/>
      <c r="D1" s="179"/>
      <c r="E1" s="179"/>
      <c r="F1" s="179"/>
      <c r="G1" s="179"/>
      <c r="H1" s="179"/>
      <c r="I1" s="1"/>
      <c r="J1" s="1"/>
      <c r="K1" s="1"/>
      <c r="L1" s="1"/>
    </row>
    <row r="2" spans="1:12" ht="15.75">
      <c r="A2" s="1" t="s">
        <v>115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 t="s">
        <v>116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" t="s">
        <v>117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" t="s">
        <v>118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176" t="s">
        <v>119</v>
      </c>
      <c r="B7" s="176"/>
      <c r="C7" s="176"/>
      <c r="D7" s="176"/>
      <c r="E7" s="1"/>
      <c r="F7" s="1"/>
      <c r="G7" s="1"/>
      <c r="H7" s="1"/>
      <c r="I7" s="1"/>
      <c r="J7" s="1"/>
      <c r="K7" s="1"/>
      <c r="L7" s="1"/>
    </row>
    <row r="8" spans="1:12" ht="15.75">
      <c r="A8" s="41" t="s">
        <v>120</v>
      </c>
      <c r="B8" s="41" t="s">
        <v>121</v>
      </c>
      <c r="C8" s="41" t="s">
        <v>122</v>
      </c>
      <c r="D8" s="41" t="s">
        <v>123</v>
      </c>
      <c r="E8" s="1"/>
      <c r="F8" s="1"/>
      <c r="G8" s="1"/>
      <c r="H8" s="1"/>
      <c r="I8" s="1"/>
      <c r="J8" s="1"/>
      <c r="K8" s="1"/>
      <c r="L8" s="1"/>
    </row>
    <row r="9" spans="1:12" ht="15.75">
      <c r="A9" s="39" t="s">
        <v>124</v>
      </c>
      <c r="B9" s="39">
        <v>250</v>
      </c>
      <c r="C9" s="39">
        <v>250</v>
      </c>
      <c r="D9" s="39">
        <f>+B9-C9</f>
        <v>0</v>
      </c>
      <c r="E9" s="1"/>
      <c r="F9" s="1"/>
      <c r="G9" s="1"/>
      <c r="H9" s="1"/>
      <c r="I9" s="1"/>
      <c r="J9" s="1"/>
      <c r="K9" s="1"/>
      <c r="L9" s="1"/>
    </row>
    <row r="10" spans="1:12" ht="15.75">
      <c r="A10" s="39" t="s">
        <v>125</v>
      </c>
      <c r="B10" s="39">
        <v>250</v>
      </c>
      <c r="C10" s="39">
        <v>200</v>
      </c>
      <c r="D10" s="39">
        <f>+D9+B10-C10</f>
        <v>50</v>
      </c>
      <c r="E10" s="1"/>
      <c r="F10" s="1"/>
      <c r="G10" s="1"/>
      <c r="H10" s="1"/>
      <c r="I10" s="1"/>
      <c r="J10" s="1"/>
      <c r="K10" s="1"/>
      <c r="L10" s="1"/>
    </row>
    <row r="11" spans="1:12" ht="15.75">
      <c r="A11" s="39" t="s">
        <v>126</v>
      </c>
      <c r="B11" s="39">
        <v>250</v>
      </c>
      <c r="C11" s="39">
        <v>175</v>
      </c>
      <c r="D11" s="39">
        <f t="shared" ref="D11:D20" si="0">+D10+B11-C11</f>
        <v>125</v>
      </c>
      <c r="E11" s="1"/>
      <c r="F11" s="1"/>
      <c r="G11" s="1"/>
      <c r="H11" s="1"/>
      <c r="I11" s="1"/>
      <c r="J11" s="1"/>
      <c r="K11" s="1"/>
      <c r="L11" s="1"/>
    </row>
    <row r="12" spans="1:12" ht="15.75">
      <c r="A12" s="39" t="s">
        <v>127</v>
      </c>
      <c r="B12" s="39">
        <v>250</v>
      </c>
      <c r="C12" s="39">
        <v>170</v>
      </c>
      <c r="D12" s="39">
        <f t="shared" si="0"/>
        <v>205</v>
      </c>
      <c r="E12" s="1"/>
      <c r="F12" s="1"/>
      <c r="G12" s="1"/>
      <c r="H12" s="1"/>
      <c r="I12" s="1"/>
      <c r="J12" s="1"/>
      <c r="K12" s="1"/>
      <c r="L12" s="1"/>
    </row>
    <row r="13" spans="1:12" ht="15.75">
      <c r="A13" s="39" t="s">
        <v>128</v>
      </c>
      <c r="B13" s="39">
        <v>250</v>
      </c>
      <c r="C13" s="39">
        <v>225</v>
      </c>
      <c r="D13" s="39">
        <f t="shared" si="0"/>
        <v>230</v>
      </c>
      <c r="E13" s="1"/>
      <c r="F13" s="1"/>
      <c r="G13" s="1"/>
      <c r="H13" s="1"/>
      <c r="I13" s="1"/>
      <c r="J13" s="1"/>
      <c r="K13" s="1"/>
      <c r="L13" s="1"/>
    </row>
    <row r="14" spans="1:12" ht="15.75">
      <c r="A14" s="39" t="s">
        <v>129</v>
      </c>
      <c r="B14" s="39">
        <v>250</v>
      </c>
      <c r="C14" s="39">
        <v>210</v>
      </c>
      <c r="D14" s="39">
        <f t="shared" si="0"/>
        <v>270</v>
      </c>
      <c r="E14" s="1"/>
      <c r="F14" s="1"/>
      <c r="G14" s="1"/>
      <c r="H14" s="1"/>
      <c r="I14" s="1"/>
      <c r="J14" s="1"/>
      <c r="K14" s="1"/>
      <c r="L14" s="1"/>
    </row>
    <row r="15" spans="1:12" ht="15.75">
      <c r="A15" s="39" t="s">
        <v>130</v>
      </c>
      <c r="B15" s="39">
        <v>250</v>
      </c>
      <c r="C15" s="39">
        <v>250</v>
      </c>
      <c r="D15" s="39">
        <f t="shared" si="0"/>
        <v>270</v>
      </c>
      <c r="E15" s="1"/>
      <c r="F15" s="1"/>
      <c r="G15" s="1"/>
      <c r="H15" s="1"/>
      <c r="I15" s="1"/>
      <c r="J15" s="1"/>
      <c r="K15" s="1"/>
      <c r="L15" s="1"/>
    </row>
    <row r="16" spans="1:12" ht="15.75">
      <c r="A16" s="39" t="s">
        <v>131</v>
      </c>
      <c r="B16" s="39">
        <v>250</v>
      </c>
      <c r="C16" s="39">
        <v>250</v>
      </c>
      <c r="D16" s="39">
        <f t="shared" si="0"/>
        <v>270</v>
      </c>
      <c r="E16" s="1"/>
      <c r="F16" s="1"/>
      <c r="G16" s="1"/>
      <c r="H16" s="1"/>
      <c r="I16" s="1"/>
      <c r="J16" s="1"/>
      <c r="K16" s="1"/>
      <c r="L16" s="1"/>
    </row>
    <row r="17" spans="1:12" ht="15.75">
      <c r="A17" s="39" t="s">
        <v>132</v>
      </c>
      <c r="B17" s="39">
        <v>250</v>
      </c>
      <c r="C17" s="39">
        <v>275</v>
      </c>
      <c r="D17" s="39">
        <f t="shared" si="0"/>
        <v>245</v>
      </c>
      <c r="E17" s="1"/>
      <c r="F17" s="1"/>
      <c r="G17" s="1"/>
      <c r="H17" s="1"/>
      <c r="I17" s="1"/>
      <c r="J17" s="1"/>
      <c r="K17" s="1"/>
      <c r="L17" s="1"/>
    </row>
    <row r="18" spans="1:12" ht="15.75">
      <c r="A18" s="39" t="s">
        <v>133</v>
      </c>
      <c r="B18" s="39">
        <v>250</v>
      </c>
      <c r="C18" s="39">
        <v>320</v>
      </c>
      <c r="D18" s="39">
        <f t="shared" si="0"/>
        <v>175</v>
      </c>
      <c r="E18" s="1"/>
      <c r="F18" s="1"/>
      <c r="G18" s="1"/>
      <c r="H18" s="1"/>
      <c r="I18" s="1"/>
      <c r="J18" s="1"/>
      <c r="K18" s="1"/>
      <c r="L18" s="1"/>
    </row>
    <row r="19" spans="1:12" ht="15.75">
      <c r="A19" s="39" t="s">
        <v>134</v>
      </c>
      <c r="B19" s="39">
        <v>250</v>
      </c>
      <c r="C19" s="39">
        <v>325</v>
      </c>
      <c r="D19" s="39">
        <f t="shared" si="0"/>
        <v>100</v>
      </c>
      <c r="E19" s="1"/>
      <c r="F19" s="1"/>
      <c r="G19" s="1"/>
      <c r="H19" s="1"/>
      <c r="I19" s="1"/>
      <c r="J19" s="1"/>
      <c r="K19" s="1"/>
      <c r="L19" s="1"/>
    </row>
    <row r="20" spans="1:12" ht="15.75">
      <c r="A20" s="39" t="s">
        <v>135</v>
      </c>
      <c r="B20" s="39">
        <v>250</v>
      </c>
      <c r="C20" s="39">
        <v>350</v>
      </c>
      <c r="D20" s="39">
        <f t="shared" si="0"/>
        <v>0</v>
      </c>
      <c r="E20" s="1"/>
      <c r="F20" s="1"/>
      <c r="G20" s="1"/>
      <c r="H20" s="1"/>
      <c r="I20" s="1"/>
      <c r="J20" s="1"/>
      <c r="K20" s="1"/>
      <c r="L20" s="1"/>
    </row>
    <row r="21" spans="1:12" ht="15.75">
      <c r="A21" s="72" t="s">
        <v>136</v>
      </c>
      <c r="B21" s="71">
        <f>SUM(B9:B20)</f>
        <v>3000</v>
      </c>
      <c r="C21" s="71">
        <f>SUM(C9:C20)</f>
        <v>3000</v>
      </c>
      <c r="D21" s="71">
        <v>0</v>
      </c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 t="s">
        <v>142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 t="s">
        <v>144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 t="s">
        <v>143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 t="s">
        <v>137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 t="s">
        <v>138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 t="s">
        <v>139</v>
      </c>
      <c r="B29" s="1"/>
      <c r="C29" s="6">
        <f>+C21</f>
        <v>3000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 t="s">
        <v>140</v>
      </c>
      <c r="B30" s="1"/>
      <c r="C30" s="6">
        <v>1000000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 t="s">
        <v>141</v>
      </c>
      <c r="B31" s="1"/>
      <c r="C31" s="6">
        <f>+C30*D31</f>
        <v>550000</v>
      </c>
      <c r="D31" s="37">
        <v>0.55000000000000004</v>
      </c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76" t="s">
        <v>145</v>
      </c>
      <c r="B33" s="176"/>
      <c r="C33" s="176"/>
      <c r="D33" s="176"/>
      <c r="E33" s="1"/>
      <c r="F33" s="1"/>
      <c r="G33" s="1"/>
      <c r="H33" s="1"/>
      <c r="I33" s="1"/>
      <c r="J33" s="1"/>
      <c r="K33" s="1"/>
      <c r="L33" s="1"/>
    </row>
    <row r="34" spans="1:12" ht="15.75">
      <c r="A34" s="211" t="s">
        <v>2</v>
      </c>
      <c r="B34" s="211"/>
      <c r="C34" s="211"/>
      <c r="D34" s="42" t="s">
        <v>147</v>
      </c>
      <c r="E34" s="1"/>
      <c r="F34" s="1" t="s">
        <v>189</v>
      </c>
      <c r="G34" s="1"/>
      <c r="H34" s="1"/>
      <c r="I34" s="1"/>
      <c r="J34" s="1"/>
      <c r="K34" s="1"/>
      <c r="L34" s="1"/>
    </row>
    <row r="35" spans="1:12" ht="15.75">
      <c r="A35" s="1" t="s">
        <v>146</v>
      </c>
      <c r="B35" s="6">
        <f>+C21</f>
        <v>3000</v>
      </c>
      <c r="C35" s="3">
        <f>+C30</f>
        <v>1000000</v>
      </c>
      <c r="D35" s="73">
        <f>+B35*C35</f>
        <v>3000000000</v>
      </c>
      <c r="E35" s="1"/>
      <c r="F35" s="1" t="s">
        <v>188</v>
      </c>
      <c r="G35" s="6">
        <v>11250000</v>
      </c>
      <c r="H35" s="1"/>
      <c r="I35" s="1"/>
      <c r="J35" s="1"/>
      <c r="K35" s="1"/>
      <c r="L35" s="1"/>
    </row>
    <row r="36" spans="1:12" ht="16.5" thickBot="1">
      <c r="A36" s="1" t="s">
        <v>148</v>
      </c>
      <c r="B36" s="3">
        <f>+C29</f>
        <v>3000</v>
      </c>
      <c r="C36" s="3">
        <f>+C31</f>
        <v>550000</v>
      </c>
      <c r="D36" s="74">
        <f>+B36*C36</f>
        <v>1650000000</v>
      </c>
      <c r="E36" s="1"/>
      <c r="F36" s="1" t="s">
        <v>190</v>
      </c>
      <c r="G36" s="6">
        <v>3750000</v>
      </c>
      <c r="H36" s="1"/>
      <c r="I36" s="1"/>
      <c r="J36" s="1"/>
      <c r="K36" s="1"/>
      <c r="L36" s="1"/>
    </row>
    <row r="37" spans="1:12" ht="16.5" thickTop="1">
      <c r="A37" s="177" t="s">
        <v>149</v>
      </c>
      <c r="B37" s="177"/>
      <c r="C37" s="177"/>
      <c r="D37" s="73">
        <f>+D35-D36</f>
        <v>1350000000</v>
      </c>
      <c r="E37" s="1"/>
      <c r="F37" s="1" t="s">
        <v>191</v>
      </c>
      <c r="G37" s="6">
        <v>23250000</v>
      </c>
      <c r="H37" s="1"/>
      <c r="I37" s="1"/>
      <c r="J37" s="1"/>
      <c r="K37" s="1"/>
      <c r="L37" s="1"/>
    </row>
    <row r="38" spans="1:12" ht="15.75">
      <c r="A38" s="7" t="s">
        <v>150</v>
      </c>
      <c r="B38" s="1"/>
      <c r="C38" s="1"/>
      <c r="D38" s="1"/>
      <c r="E38" s="1"/>
      <c r="F38" s="1" t="s">
        <v>192</v>
      </c>
      <c r="G38" s="3">
        <f>SUM(G35:G37)</f>
        <v>38250000</v>
      </c>
      <c r="H38" s="1"/>
      <c r="I38" s="1"/>
      <c r="J38" s="1"/>
      <c r="K38" s="1"/>
      <c r="L38" s="1"/>
    </row>
    <row r="39" spans="1:12" ht="15.75">
      <c r="A39" s="40" t="s">
        <v>184</v>
      </c>
      <c r="B39" s="75" t="s">
        <v>120</v>
      </c>
      <c r="C39" s="75" t="s">
        <v>194</v>
      </c>
      <c r="D39" s="43"/>
      <c r="E39" s="1"/>
      <c r="F39" s="1" t="s">
        <v>193</v>
      </c>
      <c r="G39" s="6">
        <f>+G38*12</f>
        <v>459000000</v>
      </c>
      <c r="H39" s="1"/>
      <c r="I39" s="1"/>
      <c r="J39" s="1"/>
      <c r="K39" s="1"/>
      <c r="L39" s="1"/>
    </row>
    <row r="40" spans="1:12" ht="15.75">
      <c r="A40" s="4" t="s">
        <v>181</v>
      </c>
      <c r="B40" s="76">
        <f>+G35</f>
        <v>11250000</v>
      </c>
      <c r="C40" s="76">
        <f>+B40*12</f>
        <v>135000000</v>
      </c>
      <c r="D40" s="43"/>
      <c r="E40" s="1"/>
      <c r="F40" s="1"/>
      <c r="G40" s="1"/>
      <c r="H40" s="1"/>
      <c r="I40" s="1"/>
      <c r="J40" s="1"/>
      <c r="K40" s="1"/>
      <c r="L40" s="1"/>
    </row>
    <row r="41" spans="1:12" ht="15.75">
      <c r="A41" s="4" t="s">
        <v>182</v>
      </c>
      <c r="B41" s="76">
        <f>+G36</f>
        <v>3750000</v>
      </c>
      <c r="C41" s="76">
        <f>+B41*12</f>
        <v>45000000</v>
      </c>
      <c r="D41" s="43"/>
      <c r="E41" s="1"/>
      <c r="F41" s="1"/>
      <c r="G41" s="1"/>
      <c r="H41" s="1"/>
      <c r="I41" s="1"/>
      <c r="J41" s="1"/>
      <c r="K41" s="1"/>
      <c r="L41" s="1"/>
    </row>
    <row r="42" spans="1:12" ht="15.75">
      <c r="A42" s="4" t="s">
        <v>183</v>
      </c>
      <c r="B42" s="76">
        <f>+G37</f>
        <v>23250000</v>
      </c>
      <c r="C42" s="76">
        <f>+B42*12</f>
        <v>279000000</v>
      </c>
      <c r="D42" s="43"/>
      <c r="E42" s="1"/>
      <c r="F42" s="1"/>
      <c r="G42" s="1"/>
      <c r="H42" s="1"/>
      <c r="I42" s="1"/>
      <c r="J42" s="1"/>
      <c r="K42" s="1"/>
      <c r="L42" s="1"/>
    </row>
    <row r="43" spans="1:12" ht="15.75">
      <c r="A43" s="177" t="s">
        <v>195</v>
      </c>
      <c r="B43" s="177"/>
      <c r="C43" s="43"/>
      <c r="D43" s="73">
        <f>SUM(C40:C42)</f>
        <v>459000000</v>
      </c>
      <c r="E43" s="1"/>
      <c r="F43" s="1"/>
      <c r="G43" s="1"/>
      <c r="H43" s="1"/>
      <c r="I43" s="1"/>
      <c r="J43" s="1"/>
      <c r="K43" s="1"/>
      <c r="L43" s="1"/>
    </row>
    <row r="44" spans="1:12" ht="15.75">
      <c r="A44" s="38" t="s">
        <v>185</v>
      </c>
      <c r="B44" s="43"/>
      <c r="C44" s="43"/>
      <c r="D44" s="43"/>
      <c r="E44" s="1"/>
      <c r="F44" s="1"/>
      <c r="G44" s="1"/>
      <c r="H44" s="1"/>
      <c r="I44" s="1"/>
      <c r="J44" s="1"/>
      <c r="K44" s="1"/>
      <c r="L44" s="1"/>
    </row>
    <row r="45" spans="1:12" ht="15.75">
      <c r="A45" s="4" t="s">
        <v>152</v>
      </c>
      <c r="B45" s="77">
        <f>+'jawaban kasus3'!C60</f>
        <v>72000000</v>
      </c>
      <c r="C45" s="1"/>
      <c r="D45" s="43"/>
      <c r="E45" s="1"/>
      <c r="F45" s="1"/>
      <c r="G45" s="1"/>
      <c r="H45" s="1"/>
      <c r="I45" s="1"/>
      <c r="J45" s="1"/>
      <c r="K45" s="1"/>
      <c r="L45" s="1"/>
    </row>
    <row r="46" spans="1:12" ht="15.75">
      <c r="A46" s="4" t="s">
        <v>154</v>
      </c>
      <c r="B46" s="77">
        <f>+'jawaban kasus3'!C74</f>
        <v>25650000</v>
      </c>
      <c r="C46" s="1"/>
      <c r="D46" s="43"/>
      <c r="E46" s="1"/>
      <c r="F46" s="1"/>
      <c r="G46" s="1"/>
      <c r="H46" s="1"/>
      <c r="I46" s="1"/>
      <c r="J46" s="1"/>
      <c r="K46" s="1"/>
      <c r="L46" s="1"/>
    </row>
    <row r="47" spans="1:12" ht="15.75">
      <c r="A47" s="4" t="s">
        <v>153</v>
      </c>
      <c r="B47" s="77">
        <f>+'jawaban kasus3'!C93</f>
        <v>6428571.4285714282</v>
      </c>
      <c r="C47" s="1"/>
      <c r="D47" s="43"/>
      <c r="E47" s="1"/>
      <c r="F47" s="1"/>
      <c r="G47" s="1"/>
      <c r="H47" s="1"/>
      <c r="I47" s="1"/>
      <c r="J47" s="1"/>
      <c r="K47" s="1"/>
      <c r="L47" s="1"/>
    </row>
    <row r="48" spans="1:12" ht="15.75">
      <c r="A48" s="4" t="s">
        <v>155</v>
      </c>
      <c r="B48" s="77">
        <f>+'jawaban kasus3'!C108</f>
        <v>1250000</v>
      </c>
      <c r="C48" s="1"/>
      <c r="D48" s="43"/>
      <c r="E48" s="1"/>
      <c r="F48" s="1"/>
      <c r="G48" s="1"/>
      <c r="H48" s="1"/>
      <c r="I48" s="1"/>
      <c r="J48" s="1"/>
      <c r="K48" s="1"/>
      <c r="L48" s="1"/>
    </row>
    <row r="49" spans="1:12" ht="16.5" thickBot="1">
      <c r="A49" s="177" t="s">
        <v>196</v>
      </c>
      <c r="B49" s="177"/>
      <c r="C49" s="1"/>
      <c r="D49" s="78">
        <f>SUM(B45:B48)</f>
        <v>105328571.42857143</v>
      </c>
      <c r="E49" s="1"/>
      <c r="F49" s="1"/>
      <c r="G49" s="1"/>
      <c r="H49" s="1"/>
      <c r="I49" s="1"/>
      <c r="J49" s="1"/>
      <c r="K49" s="1"/>
      <c r="L49" s="1"/>
    </row>
    <row r="50" spans="1:12" ht="16.5" thickTop="1">
      <c r="A50" s="177" t="s">
        <v>151</v>
      </c>
      <c r="B50" s="177"/>
      <c r="C50" s="177"/>
      <c r="D50" s="79">
        <f>+D37-D43-D49</f>
        <v>785671428.57142854</v>
      </c>
      <c r="E50" s="1"/>
      <c r="F50" s="1"/>
      <c r="G50" s="1"/>
      <c r="H50" s="1"/>
      <c r="I50" s="1"/>
      <c r="J50" s="1"/>
      <c r="K50" s="1"/>
      <c r="L50" s="1"/>
    </row>
    <row r="51" spans="1:12" ht="15.75">
      <c r="A51" s="40" t="s">
        <v>186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4" t="s">
        <v>156</v>
      </c>
      <c r="B52" s="77">
        <f>+'jawaban kasus3'!E30</f>
        <v>14310000</v>
      </c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4" t="s">
        <v>165</v>
      </c>
      <c r="B53" s="77">
        <f>+'jawaban kasus3'!E45</f>
        <v>21600000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6.5" thickBot="1">
      <c r="A54" s="177" t="s">
        <v>157</v>
      </c>
      <c r="B54" s="177"/>
      <c r="C54" s="1"/>
      <c r="D54" s="78">
        <f>+B53+B52</f>
        <v>35910000</v>
      </c>
      <c r="E54" s="1"/>
      <c r="F54" s="1"/>
      <c r="G54" s="1"/>
      <c r="H54" s="1"/>
      <c r="I54" s="1"/>
      <c r="J54" s="1"/>
      <c r="K54" s="1"/>
      <c r="L54" s="1"/>
    </row>
    <row r="55" spans="1:12" ht="16.5" thickTop="1">
      <c r="A55" s="177" t="s">
        <v>158</v>
      </c>
      <c r="B55" s="177"/>
      <c r="C55" s="177"/>
      <c r="D55" s="77">
        <f>+D50-D54</f>
        <v>749761428.57142854</v>
      </c>
      <c r="E55" s="1"/>
      <c r="F55" s="1"/>
      <c r="G55" s="1"/>
      <c r="H55" s="1"/>
      <c r="I55" s="1"/>
      <c r="J55" s="1"/>
      <c r="K55" s="1"/>
      <c r="L55" s="1"/>
    </row>
    <row r="56" spans="1:12" ht="15.75">
      <c r="A56" s="44" t="s">
        <v>187</v>
      </c>
      <c r="B56" s="36"/>
      <c r="C56" s="36"/>
      <c r="D56" s="43"/>
      <c r="E56" s="1"/>
      <c r="F56" s="1"/>
      <c r="G56" s="1"/>
      <c r="H56" s="1"/>
      <c r="I56" s="1"/>
      <c r="J56" s="1"/>
      <c r="K56" s="1"/>
      <c r="L56" s="1"/>
    </row>
    <row r="57" spans="1:12" ht="15.75">
      <c r="A57" s="1" t="s">
        <v>159</v>
      </c>
      <c r="B57" s="1"/>
      <c r="C57" s="76">
        <f>+F57*G57</f>
        <v>2500000</v>
      </c>
      <c r="D57" s="1"/>
      <c r="E57" s="1"/>
      <c r="F57" s="6">
        <v>50000000</v>
      </c>
      <c r="G57" s="37">
        <v>0.05</v>
      </c>
      <c r="H57" s="1"/>
      <c r="I57" s="1"/>
      <c r="J57" s="1"/>
      <c r="K57" s="1"/>
      <c r="L57" s="1"/>
    </row>
    <row r="58" spans="1:12" ht="15.75">
      <c r="A58" s="1" t="s">
        <v>160</v>
      </c>
      <c r="B58" s="1"/>
      <c r="C58" s="76">
        <f>+F58*G58</f>
        <v>30000000</v>
      </c>
      <c r="D58" s="1"/>
      <c r="E58" s="1"/>
      <c r="F58" s="6">
        <v>200000000</v>
      </c>
      <c r="G58" s="37">
        <v>0.15</v>
      </c>
      <c r="H58" s="1"/>
      <c r="I58" s="1"/>
      <c r="J58" s="1"/>
      <c r="K58" s="1"/>
      <c r="L58" s="1"/>
    </row>
    <row r="59" spans="1:12" ht="15.75">
      <c r="A59" s="1" t="s">
        <v>161</v>
      </c>
      <c r="B59" s="1"/>
      <c r="C59" s="76">
        <f>+F59*G59</f>
        <v>125000000</v>
      </c>
      <c r="D59" s="1"/>
      <c r="E59" s="1"/>
      <c r="F59" s="6">
        <v>500000000</v>
      </c>
      <c r="G59" s="37">
        <v>0.25</v>
      </c>
      <c r="H59" s="1"/>
      <c r="I59" s="1"/>
      <c r="J59" s="1"/>
      <c r="K59" s="1"/>
      <c r="L59" s="1"/>
    </row>
    <row r="60" spans="1:12" ht="16.5" thickBot="1">
      <c r="A60" s="1" t="s">
        <v>162</v>
      </c>
      <c r="B60" s="1"/>
      <c r="C60" s="80">
        <f>+F60*G60</f>
        <v>74928428.571428552</v>
      </c>
      <c r="D60" s="1"/>
      <c r="E60" s="1"/>
      <c r="F60" s="81">
        <f>+D55-F59</f>
        <v>249761428.57142854</v>
      </c>
      <c r="G60" s="37">
        <v>0.3</v>
      </c>
      <c r="H60" s="1"/>
      <c r="I60" s="1"/>
      <c r="J60" s="1"/>
      <c r="K60" s="1"/>
      <c r="L60" s="1"/>
    </row>
    <row r="61" spans="1:12" ht="17.25" thickTop="1" thickBot="1">
      <c r="A61" s="177" t="s">
        <v>163</v>
      </c>
      <c r="B61" s="177"/>
      <c r="C61" s="1"/>
      <c r="D61" s="74">
        <f>SUM(C57:C60)</f>
        <v>232428428.57142854</v>
      </c>
      <c r="E61" s="1"/>
      <c r="F61" s="1"/>
      <c r="G61" s="1"/>
      <c r="H61" s="1"/>
      <c r="I61" s="1"/>
      <c r="J61" s="1"/>
      <c r="K61" s="1"/>
      <c r="L61" s="1"/>
    </row>
    <row r="62" spans="1:12" ht="16.5" thickTop="1">
      <c r="A62" s="177" t="s">
        <v>164</v>
      </c>
      <c r="B62" s="177"/>
      <c r="C62" s="177"/>
      <c r="D62" s="82">
        <f>+D55-D61</f>
        <v>517333000</v>
      </c>
      <c r="E62" s="1"/>
      <c r="F62" s="1"/>
      <c r="G62" s="1"/>
      <c r="H62" s="1"/>
      <c r="I62" s="1"/>
      <c r="J62" s="1"/>
      <c r="K62" s="1"/>
      <c r="L62" s="1"/>
    </row>
    <row r="63" spans="1:12" ht="15.75">
      <c r="A63" s="4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8" t="s">
        <v>166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 t="s">
        <v>167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 t="s">
        <v>168</v>
      </c>
      <c r="B66" s="37">
        <v>0.05</v>
      </c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 t="s">
        <v>169</v>
      </c>
      <c r="B67" s="37">
        <v>0.15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 t="s">
        <v>170</v>
      </c>
      <c r="B68" s="37">
        <v>0.25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 t="s">
        <v>171</v>
      </c>
      <c r="B69" s="37">
        <v>0.3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78" t="s">
        <v>180</v>
      </c>
      <c r="B71" s="178"/>
      <c r="C71" s="178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 t="s">
        <v>172</v>
      </c>
      <c r="B72" s="1"/>
      <c r="C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4" t="s">
        <v>173</v>
      </c>
      <c r="B73" s="73">
        <f>D62</f>
        <v>517333000</v>
      </c>
      <c r="C73" s="1"/>
      <c r="D73" s="43"/>
      <c r="E73" s="1"/>
      <c r="F73" s="1"/>
      <c r="G73" s="1"/>
      <c r="H73" s="1"/>
      <c r="I73" s="1"/>
      <c r="J73" s="1"/>
      <c r="K73" s="1"/>
      <c r="L73" s="1"/>
    </row>
    <row r="74" spans="1:12" ht="15.75">
      <c r="A74" s="4" t="s">
        <v>174</v>
      </c>
      <c r="B74" s="73">
        <f>+D35</f>
        <v>3000000000</v>
      </c>
      <c r="C74" s="1"/>
      <c r="D74" s="43"/>
      <c r="E74" s="1"/>
      <c r="F74" s="1"/>
      <c r="G74" s="1"/>
      <c r="H74" s="1"/>
      <c r="I74" s="1"/>
      <c r="J74" s="1"/>
      <c r="K74" s="1"/>
      <c r="L74" s="1"/>
    </row>
    <row r="75" spans="1:12" ht="15.75">
      <c r="A75" s="4"/>
      <c r="B75" s="42" t="s">
        <v>177</v>
      </c>
      <c r="C75" s="83">
        <f>+B73/B74</f>
        <v>0.17244433333333334</v>
      </c>
      <c r="D75" s="43"/>
      <c r="E75" s="1"/>
      <c r="F75" s="1"/>
      <c r="G75" s="1"/>
      <c r="H75" s="1"/>
      <c r="I75" s="1"/>
      <c r="J75" s="1"/>
      <c r="K75" s="1"/>
      <c r="L75" s="1"/>
    </row>
    <row r="76" spans="1:12" ht="15.75">
      <c r="A76" s="1" t="s">
        <v>175</v>
      </c>
      <c r="B76" s="1"/>
      <c r="C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4" t="s">
        <v>173</v>
      </c>
      <c r="B77" s="73">
        <f>+D62</f>
        <v>517333000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4" t="s">
        <v>176</v>
      </c>
      <c r="B78" s="73">
        <f>+'jawaban kasus2'!D43</f>
        <v>1354500000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42" t="s">
        <v>178</v>
      </c>
      <c r="C79" s="83">
        <f>+B77/B78</f>
        <v>0.38193650793650796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210" t="s">
        <v>179</v>
      </c>
      <c r="B81" s="210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 t="s">
        <v>197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 t="s">
        <v>198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</sheetData>
  <mergeCells count="14">
    <mergeCell ref="A81:B81"/>
    <mergeCell ref="A1:H1"/>
    <mergeCell ref="A7:D7"/>
    <mergeCell ref="A34:C34"/>
    <mergeCell ref="A33:D33"/>
    <mergeCell ref="A37:C37"/>
    <mergeCell ref="A50:C50"/>
    <mergeCell ref="A49:B49"/>
    <mergeCell ref="A43:B43"/>
    <mergeCell ref="A54:B54"/>
    <mergeCell ref="A55:C55"/>
    <mergeCell ref="A61:B61"/>
    <mergeCell ref="A62:C62"/>
    <mergeCell ref="A71:C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2"/>
  <sheetViews>
    <sheetView workbookViewId="0">
      <selection sqref="A1:F1"/>
    </sheetView>
  </sheetViews>
  <sheetFormatPr defaultRowHeight="15"/>
  <cols>
    <col min="1" max="1" width="31.85546875" customWidth="1"/>
    <col min="2" max="2" width="29.28515625" customWidth="1"/>
    <col min="3" max="3" width="20.85546875" customWidth="1"/>
    <col min="4" max="4" width="12.85546875" bestFit="1" customWidth="1"/>
  </cols>
  <sheetData>
    <row r="1" spans="1:19" ht="17.25">
      <c r="A1" s="206" t="s">
        <v>199</v>
      </c>
      <c r="B1" s="206"/>
      <c r="C1" s="206"/>
      <c r="D1" s="206"/>
      <c r="E1" s="206"/>
      <c r="F1" s="206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7.25">
      <c r="A2" s="49" t="s">
        <v>201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7.25">
      <c r="A3" s="49" t="s">
        <v>202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7.25">
      <c r="A4" s="49" t="s">
        <v>203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7.25">
      <c r="A5" s="49" t="s">
        <v>204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7.25">
      <c r="A6" s="49" t="s">
        <v>205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7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7.25">
      <c r="A8" s="84" t="s">
        <v>206</v>
      </c>
      <c r="B8" s="84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ht="17.25">
      <c r="A9" s="49" t="s">
        <v>207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ht="17.25">
      <c r="A10" s="86" t="s">
        <v>2</v>
      </c>
      <c r="B10" s="86" t="s">
        <v>55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17.25">
      <c r="A11" s="49" t="s">
        <v>208</v>
      </c>
      <c r="B11" s="61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17.25">
      <c r="A12" s="49" t="s">
        <v>209</v>
      </c>
      <c r="B12" s="61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17.25">
      <c r="A13" s="49" t="s">
        <v>210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17.25">
      <c r="A14" s="49" t="s">
        <v>211</v>
      </c>
      <c r="B14" s="61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17.25">
      <c r="A15" s="49" t="s">
        <v>213</v>
      </c>
      <c r="B15" s="87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17.25">
      <c r="A16" s="49" t="s">
        <v>212</v>
      </c>
      <c r="B16" s="8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17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17.25">
      <c r="A18" s="54" t="s">
        <v>214</v>
      </c>
      <c r="B18" s="54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17.25">
      <c r="A19" s="55" t="s">
        <v>218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17.25">
      <c r="A20" s="49" t="s">
        <v>215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17.25">
      <c r="A21" s="49" t="s">
        <v>216</v>
      </c>
      <c r="B21" s="49"/>
      <c r="C21" s="49"/>
      <c r="D21" s="8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17.25">
      <c r="A22" s="49"/>
      <c r="B22" s="49"/>
      <c r="C22" s="49"/>
      <c r="D22" s="8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ht="17.25">
      <c r="A23" s="49"/>
      <c r="B23" s="49"/>
      <c r="C23" s="49"/>
      <c r="D23" s="8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ht="17.25">
      <c r="A24" s="86" t="s">
        <v>217</v>
      </c>
      <c r="B24" s="93"/>
      <c r="C24" s="54" t="s">
        <v>11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ht="17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17.25">
      <c r="A26" s="54" t="s">
        <v>219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ht="17.25">
      <c r="A27" s="49" t="s">
        <v>220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7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ht="17.25">
      <c r="A29" s="85" t="s">
        <v>221</v>
      </c>
      <c r="B29" s="87"/>
      <c r="C29" s="91">
        <f>+B12*B24</f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ht="17.25">
      <c r="A30" s="86" t="s">
        <v>221</v>
      </c>
      <c r="B30" s="92"/>
      <c r="C30" s="89" t="s">
        <v>222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ht="17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ht="17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ht="17.25">
      <c r="A33" s="89" t="s">
        <v>223</v>
      </c>
      <c r="B33" s="49"/>
      <c r="C33" s="49"/>
      <c r="D33" s="49"/>
      <c r="E33" s="90" t="s">
        <v>225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ht="17.25">
      <c r="A34" s="49" t="s">
        <v>230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ht="17.25">
      <c r="A35" s="49" t="s">
        <v>231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ht="17.25">
      <c r="A36" s="212" t="s">
        <v>222</v>
      </c>
      <c r="B36" s="212"/>
      <c r="C36" s="49"/>
      <c r="D36" s="49"/>
      <c r="E36" s="90" t="s">
        <v>226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7.25">
      <c r="A37" s="95"/>
      <c r="B37" s="94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7.25">
      <c r="A38" s="95"/>
      <c r="B38" s="94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ht="17.25">
      <c r="A39" s="95"/>
      <c r="B39" s="94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19" ht="17.25">
      <c r="A40" s="101">
        <f>+B30</f>
        <v>0</v>
      </c>
      <c r="B40" s="97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9" ht="17.25">
      <c r="A41" s="95"/>
      <c r="B41" s="94"/>
      <c r="C41" s="98" t="s">
        <v>227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 ht="17.25">
      <c r="A42" s="95"/>
      <c r="B42" s="94"/>
      <c r="C42" s="9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19" ht="17.25">
      <c r="A43" s="95"/>
      <c r="B43" s="9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ht="17.25">
      <c r="A44" s="102"/>
      <c r="B44" s="9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</row>
    <row r="45" spans="1:19" ht="17.25">
      <c r="A45" s="95"/>
      <c r="B45" s="9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19" ht="18" thickBot="1">
      <c r="A46" s="95"/>
      <c r="B46" s="100"/>
      <c r="C46" s="96"/>
      <c r="D46" s="96"/>
      <c r="E46" s="49" t="s">
        <v>224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19" ht="17.25">
      <c r="A47" s="49"/>
      <c r="B47" s="213"/>
      <c r="C47" s="213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ht="17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ht="17.25">
      <c r="A49" s="54" t="s">
        <v>228</v>
      </c>
      <c r="B49" s="54"/>
      <c r="C49" s="54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ht="17.25">
      <c r="A50" s="49" t="s">
        <v>232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ht="17.25">
      <c r="A51" s="49" t="s">
        <v>229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ht="17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ht="17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ht="17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ht="17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ht="17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ht="17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ht="17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19" ht="17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</row>
    <row r="60" spans="1:19" ht="17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</row>
    <row r="61" spans="1:19" ht="17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</row>
    <row r="62" spans="1:19" ht="17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</row>
    <row r="63" spans="1:19" ht="17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</row>
    <row r="64" spans="1:19" ht="17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</row>
    <row r="65" spans="1:19" ht="17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</row>
    <row r="66" spans="1:19" ht="17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</row>
    <row r="67" spans="1:19" ht="17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</row>
    <row r="68" spans="1:19" ht="17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</row>
    <row r="69" spans="1:19" ht="17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</row>
    <row r="70" spans="1:19" ht="17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</row>
    <row r="71" spans="1:19" ht="17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</row>
    <row r="72" spans="1:19" ht="17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</row>
    <row r="73" spans="1:19" ht="17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1:19" ht="17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</row>
    <row r="75" spans="1:19" ht="17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</row>
    <row r="76" spans="1:19" ht="17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</row>
    <row r="77" spans="1:19" ht="17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</row>
    <row r="78" spans="1:19" ht="17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</row>
    <row r="79" spans="1:19" ht="17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</row>
    <row r="80" spans="1:19" ht="17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</row>
    <row r="81" spans="1:19" ht="17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</row>
    <row r="82" spans="1:19" ht="17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</row>
    <row r="83" spans="1:19" ht="17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</row>
    <row r="84" spans="1:19" ht="17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</row>
    <row r="85" spans="1:19" ht="17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</row>
    <row r="86" spans="1:19" ht="17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</row>
    <row r="87" spans="1:19" ht="17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</row>
    <row r="88" spans="1:19" ht="17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</row>
    <row r="89" spans="1:19" ht="17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</row>
    <row r="90" spans="1:19" ht="17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</row>
    <row r="91" spans="1:19" ht="17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</row>
    <row r="92" spans="1:19" ht="17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</row>
    <row r="93" spans="1:19" ht="17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</row>
    <row r="94" spans="1:19" ht="17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</row>
    <row r="95" spans="1:19" ht="17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</row>
    <row r="96" spans="1:19" ht="17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</row>
    <row r="97" spans="1:19" ht="17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</row>
    <row r="98" spans="1:19" ht="17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</row>
    <row r="99" spans="1:19" ht="17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</row>
    <row r="100" spans="1:19" ht="17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</row>
    <row r="101" spans="1:19" ht="17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</row>
    <row r="102" spans="1:19" ht="17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</row>
    <row r="103" spans="1:19" ht="17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</row>
    <row r="104" spans="1:19" ht="17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</row>
    <row r="105" spans="1:19" ht="17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</row>
    <row r="106" spans="1:19" ht="17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</row>
    <row r="107" spans="1:19" ht="17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</row>
    <row r="108" spans="1:19" ht="17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</row>
    <row r="109" spans="1:19" ht="17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</row>
    <row r="110" spans="1:19" ht="17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</row>
    <row r="111" spans="1:19" ht="17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</row>
    <row r="112" spans="1:19" ht="17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</row>
    <row r="113" spans="1:19" ht="17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</row>
    <row r="114" spans="1:19" ht="17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</row>
    <row r="115" spans="1:19" ht="17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</row>
    <row r="116" spans="1:19" ht="17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</row>
    <row r="117" spans="1:19" ht="17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</row>
    <row r="118" spans="1:19" ht="17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</row>
    <row r="119" spans="1:19" ht="17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</row>
    <row r="120" spans="1:19" ht="17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</row>
    <row r="121" spans="1:19" ht="17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</row>
    <row r="122" spans="1:19" ht="17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</row>
    <row r="123" spans="1:19" ht="17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</row>
    <row r="124" spans="1:19" ht="17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</row>
    <row r="125" spans="1:19" ht="17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</row>
    <row r="126" spans="1:19" ht="17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</row>
    <row r="127" spans="1:19" ht="17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</row>
    <row r="128" spans="1:19" ht="17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</row>
    <row r="129" spans="1:19" ht="17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</row>
    <row r="130" spans="1:19" ht="17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</row>
    <row r="131" spans="1:19" ht="17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</row>
    <row r="132" spans="1:19" ht="17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</row>
  </sheetData>
  <mergeCells count="3">
    <mergeCell ref="A1:F1"/>
    <mergeCell ref="A36:B36"/>
    <mergeCell ref="B47:C4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5"/>
  <sheetViews>
    <sheetView topLeftCell="A58" zoomScale="130" zoomScaleNormal="130" workbookViewId="0">
      <selection activeCell="H9" sqref="H9"/>
    </sheetView>
  </sheetViews>
  <sheetFormatPr defaultRowHeight="15"/>
  <cols>
    <col min="1" max="1" width="35.5703125" customWidth="1"/>
    <col min="2" max="2" width="18.140625" customWidth="1"/>
    <col min="3" max="3" width="20.140625" customWidth="1"/>
    <col min="4" max="4" width="25.140625" customWidth="1"/>
    <col min="5" max="5" width="18.85546875" customWidth="1"/>
    <col min="6" max="6" width="12.5703125" bestFit="1" customWidth="1"/>
  </cols>
  <sheetData>
    <row r="1" spans="1:17" ht="21">
      <c r="A1" s="216" t="s">
        <v>268</v>
      </c>
      <c r="B1" s="216"/>
      <c r="C1" s="216"/>
      <c r="D1" s="216"/>
      <c r="E1" s="2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>
      <c r="A2" s="216" t="s">
        <v>269</v>
      </c>
      <c r="B2" s="216"/>
      <c r="C2" s="216"/>
      <c r="D2" s="216"/>
      <c r="E2" s="2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106" customFormat="1" ht="21">
      <c r="A3" s="105"/>
      <c r="B3" s="105"/>
      <c r="C3" s="105"/>
      <c r="D3" s="105"/>
      <c r="E3" s="10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>
      <c r="A4" s="103" t="s">
        <v>233</v>
      </c>
      <c r="B4" s="103"/>
      <c r="C4" s="10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" t="s">
        <v>234</v>
      </c>
      <c r="B5" s="1"/>
      <c r="C5" s="73" t="s">
        <v>266</v>
      </c>
      <c r="D5" s="1" t="s">
        <v>270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" t="s">
        <v>235</v>
      </c>
      <c r="B6" s="1"/>
      <c r="C6" s="73" t="s">
        <v>266</v>
      </c>
      <c r="D6" s="1" t="s">
        <v>271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" t="s">
        <v>236</v>
      </c>
      <c r="B7" s="1"/>
      <c r="C7" s="73" t="s">
        <v>266</v>
      </c>
      <c r="D7" s="1" t="s">
        <v>272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103" t="s">
        <v>237</v>
      </c>
      <c r="B8" s="103"/>
      <c r="C8" s="73" t="s">
        <v>266</v>
      </c>
      <c r="D8" s="1" t="s">
        <v>273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>
      <c r="A10" s="1" t="s">
        <v>247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>
      <c r="A11" s="176" t="s">
        <v>238</v>
      </c>
      <c r="B11" s="176"/>
      <c r="C11" s="176"/>
      <c r="D11" s="176"/>
      <c r="E11" s="17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>
      <c r="A12" s="176" t="s">
        <v>246</v>
      </c>
      <c r="B12" s="176"/>
      <c r="C12" s="176"/>
      <c r="D12" s="176"/>
      <c r="E12" s="17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>
      <c r="A13" s="214" t="s">
        <v>239</v>
      </c>
      <c r="B13" s="215"/>
      <c r="C13" s="218"/>
      <c r="D13" s="217" t="s">
        <v>240</v>
      </c>
      <c r="E13" s="21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>
      <c r="A14" s="108" t="s">
        <v>30</v>
      </c>
      <c r="B14" s="109"/>
      <c r="C14" s="114"/>
      <c r="D14" s="116" t="s">
        <v>42</v>
      </c>
      <c r="E14" s="11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>
      <c r="A15" s="119" t="s">
        <v>4</v>
      </c>
      <c r="B15" s="110"/>
      <c r="C15" s="115" t="s">
        <v>266</v>
      </c>
      <c r="D15" s="13" t="s">
        <v>241</v>
      </c>
      <c r="E15" s="115" t="s">
        <v>266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>
      <c r="A16" s="13"/>
      <c r="B16" s="110"/>
      <c r="C16" s="19"/>
      <c r="D16" s="13" t="s">
        <v>242</v>
      </c>
      <c r="E16" s="115" t="s">
        <v>266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112" t="s">
        <v>60</v>
      </c>
      <c r="B17" s="110"/>
      <c r="C17" s="19"/>
      <c r="D17" s="48" t="s">
        <v>274</v>
      </c>
      <c r="E17" s="115" t="s">
        <v>266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120" t="s">
        <v>33</v>
      </c>
      <c r="B18" s="113"/>
      <c r="C18" s="115" t="s">
        <v>266</v>
      </c>
      <c r="D18" s="13"/>
      <c r="E18" s="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10" t="s">
        <v>243</v>
      </c>
      <c r="B19" s="111" t="s">
        <v>266</v>
      </c>
      <c r="C19" s="19"/>
      <c r="D19" s="117" t="s">
        <v>254</v>
      </c>
      <c r="E19" s="115" t="s">
        <v>266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0" t="s">
        <v>245</v>
      </c>
      <c r="B20" s="111" t="s">
        <v>266</v>
      </c>
      <c r="C20" s="19"/>
      <c r="D20" s="13" t="s">
        <v>255</v>
      </c>
      <c r="E20" s="115" t="s">
        <v>266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48" t="s">
        <v>40</v>
      </c>
      <c r="B21" s="11"/>
      <c r="C21" s="115" t="s">
        <v>266</v>
      </c>
      <c r="D21" s="48" t="s">
        <v>275</v>
      </c>
      <c r="E21" s="115" t="s">
        <v>266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0" t="s">
        <v>36</v>
      </c>
      <c r="B22" s="111" t="s">
        <v>266</v>
      </c>
      <c r="C22" s="19"/>
      <c r="D22" s="13"/>
      <c r="E22" s="1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10" t="s">
        <v>248</v>
      </c>
      <c r="B23" s="111" t="s">
        <v>266</v>
      </c>
      <c r="C23" s="19"/>
      <c r="D23" s="13"/>
      <c r="E23" s="1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48" t="s">
        <v>249</v>
      </c>
      <c r="B24" s="113"/>
      <c r="C24" s="115" t="s">
        <v>266</v>
      </c>
      <c r="D24" s="13"/>
      <c r="E24" s="1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10" t="s">
        <v>15</v>
      </c>
      <c r="B25" s="111" t="s">
        <v>266</v>
      </c>
      <c r="C25" s="19"/>
      <c r="D25" s="13"/>
      <c r="E25" s="1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0" t="s">
        <v>250</v>
      </c>
      <c r="B26" s="111" t="s">
        <v>266</v>
      </c>
      <c r="C26" s="19"/>
      <c r="D26" s="13"/>
      <c r="E26" s="1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48" t="s">
        <v>251</v>
      </c>
      <c r="B27" s="113"/>
      <c r="C27" s="115" t="s">
        <v>266</v>
      </c>
      <c r="D27" s="13"/>
      <c r="E27" s="1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0" t="s">
        <v>244</v>
      </c>
      <c r="B28" s="111" t="s">
        <v>266</v>
      </c>
      <c r="C28" s="19"/>
      <c r="D28" s="13"/>
      <c r="E28" s="1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10" t="s">
        <v>252</v>
      </c>
      <c r="B29" s="111" t="s">
        <v>266</v>
      </c>
      <c r="C29" s="19"/>
      <c r="D29" s="13"/>
      <c r="E29" s="1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48" t="s">
        <v>253</v>
      </c>
      <c r="B30" s="110"/>
      <c r="C30" s="115" t="s">
        <v>266</v>
      </c>
      <c r="D30" s="13"/>
      <c r="E30" s="19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214" t="s">
        <v>264</v>
      </c>
      <c r="B31" s="215"/>
      <c r="C31" s="118" t="s">
        <v>266</v>
      </c>
      <c r="D31" s="107" t="s">
        <v>265</v>
      </c>
      <c r="E31" s="118" t="s">
        <v>266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76" t="s">
        <v>4</v>
      </c>
      <c r="B33" s="176"/>
      <c r="C33" s="17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4" t="s">
        <v>256</v>
      </c>
      <c r="B34" s="3"/>
      <c r="C34" s="104" t="str">
        <f>+C7</f>
        <v>------------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4" t="s">
        <v>279</v>
      </c>
      <c r="B35" s="3"/>
      <c r="C35" s="104" t="str">
        <f>+C8</f>
        <v>------------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4" t="s">
        <v>263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4" t="s">
        <v>260</v>
      </c>
      <c r="B37" s="73" t="s">
        <v>267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4" t="s">
        <v>257</v>
      </c>
      <c r="B38" s="73" t="s">
        <v>267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4" t="s">
        <v>258</v>
      </c>
      <c r="B39" s="73" t="s">
        <v>267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A40" s="4" t="s">
        <v>259</v>
      </c>
      <c r="B40" s="73" t="s">
        <v>267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75" t="s">
        <v>262</v>
      </c>
      <c r="B41" s="3"/>
      <c r="C41" s="73" t="s">
        <v>267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47" t="s">
        <v>261</v>
      </c>
      <c r="B42" s="42"/>
      <c r="C42" s="73" t="s">
        <v>267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>
      <c r="A44" s="176" t="s">
        <v>241</v>
      </c>
      <c r="B44" s="176"/>
      <c r="C44" s="17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1" t="s">
        <v>276</v>
      </c>
      <c r="B45" s="1"/>
      <c r="C45" s="43" t="s">
        <v>278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1" t="s">
        <v>277</v>
      </c>
      <c r="B46" s="1"/>
      <c r="C46" s="43" t="s">
        <v>278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46" t="s">
        <v>280</v>
      </c>
      <c r="B47" s="1"/>
      <c r="C47" s="43" t="s">
        <v>278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176" t="s">
        <v>281</v>
      </c>
      <c r="B49" s="176"/>
      <c r="C49" s="17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1" t="s">
        <v>282</v>
      </c>
      <c r="B50" s="1"/>
      <c r="C50" s="43" t="s">
        <v>278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>
      <c r="A51" s="1" t="s">
        <v>277</v>
      </c>
      <c r="B51" s="1"/>
      <c r="C51" s="43" t="s">
        <v>278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177" t="s">
        <v>283</v>
      </c>
      <c r="B52" s="177"/>
      <c r="C52" s="43" t="s">
        <v>278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176" t="s">
        <v>255</v>
      </c>
      <c r="B54" s="176"/>
      <c r="C54" s="17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1" t="s">
        <v>284</v>
      </c>
      <c r="B55" s="1"/>
      <c r="C55" s="43" t="s">
        <v>278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A56" s="1" t="s">
        <v>285</v>
      </c>
      <c r="B56" s="1"/>
      <c r="C56" s="43" t="s">
        <v>278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1" t="s">
        <v>286</v>
      </c>
      <c r="B57" s="1"/>
      <c r="C57" s="43" t="s">
        <v>278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>
      <c r="A58" s="177" t="s">
        <v>287</v>
      </c>
      <c r="B58" s="177"/>
      <c r="C58" s="43" t="s">
        <v>278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.75">
      <c r="A415" s="1"/>
      <c r="B415" s="1"/>
      <c r="C415" s="1"/>
      <c r="D415" s="1"/>
      <c r="E415" s="1"/>
    </row>
  </sheetData>
  <mergeCells count="13">
    <mergeCell ref="A1:E1"/>
    <mergeCell ref="A2:E2"/>
    <mergeCell ref="A11:E11"/>
    <mergeCell ref="A12:E12"/>
    <mergeCell ref="D13:E13"/>
    <mergeCell ref="A13:C13"/>
    <mergeCell ref="A54:C54"/>
    <mergeCell ref="A58:B58"/>
    <mergeCell ref="A31:B31"/>
    <mergeCell ref="A33:C33"/>
    <mergeCell ref="A44:C44"/>
    <mergeCell ref="A49:C49"/>
    <mergeCell ref="A52:B5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F4" sqref="F4:H4"/>
    </sheetView>
  </sheetViews>
  <sheetFormatPr defaultRowHeight="15"/>
  <cols>
    <col min="1" max="2" width="21.85546875" customWidth="1"/>
    <col min="3" max="3" width="19.28515625" customWidth="1"/>
    <col min="4" max="4" width="21.140625" customWidth="1"/>
    <col min="5" max="5" width="35.28515625" customWidth="1"/>
    <col min="6" max="6" width="20.140625" customWidth="1"/>
    <col min="7" max="7" width="17.28515625" customWidth="1"/>
    <col min="8" max="8" width="21.5703125" customWidth="1"/>
  </cols>
  <sheetData>
    <row r="1" spans="1:8" ht="18">
      <c r="A1" s="121" t="s">
        <v>288</v>
      </c>
      <c r="B1" s="121"/>
      <c r="C1" s="122"/>
      <c r="D1" s="122"/>
      <c r="E1" s="122"/>
      <c r="F1" s="122"/>
      <c r="G1" s="122"/>
      <c r="H1" s="122"/>
    </row>
    <row r="2" spans="1:8">
      <c r="A2" s="219" t="s">
        <v>289</v>
      </c>
      <c r="B2" s="219"/>
      <c r="C2" s="219"/>
      <c r="D2" s="219"/>
      <c r="E2" s="219"/>
      <c r="F2" s="219"/>
      <c r="G2" s="219"/>
      <c r="H2" s="219"/>
    </row>
    <row r="3" spans="1:8">
      <c r="A3" s="220" t="s">
        <v>290</v>
      </c>
      <c r="B3" s="220"/>
      <c r="C3" s="220"/>
      <c r="D3" s="220"/>
      <c r="E3" s="220"/>
      <c r="F3" s="220"/>
      <c r="G3" s="220"/>
      <c r="H3" s="220"/>
    </row>
    <row r="4" spans="1:8" ht="15.75" thickBot="1">
      <c r="A4" s="123" t="s">
        <v>31</v>
      </c>
      <c r="B4" s="152">
        <v>44198</v>
      </c>
      <c r="C4" s="153">
        <v>44561</v>
      </c>
      <c r="D4" s="154" t="s">
        <v>291</v>
      </c>
      <c r="E4" s="124" t="s">
        <v>29</v>
      </c>
      <c r="F4" s="152">
        <v>44198</v>
      </c>
      <c r="G4" s="153">
        <v>44561</v>
      </c>
      <c r="H4" s="155" t="s">
        <v>291</v>
      </c>
    </row>
    <row r="5" spans="1:8" ht="15.75" thickTop="1">
      <c r="A5" s="148" t="s">
        <v>30</v>
      </c>
      <c r="B5" s="126"/>
      <c r="C5" s="127"/>
      <c r="D5" s="128"/>
      <c r="E5" s="149" t="s">
        <v>294</v>
      </c>
      <c r="F5" s="126"/>
      <c r="G5" s="127"/>
      <c r="H5" s="130"/>
    </row>
    <row r="6" spans="1:8">
      <c r="A6" s="125"/>
      <c r="B6" s="122"/>
      <c r="C6" s="125"/>
      <c r="D6" s="128"/>
      <c r="E6" s="129"/>
      <c r="F6" s="126"/>
      <c r="G6" s="127"/>
      <c r="H6" s="130"/>
    </row>
    <row r="7" spans="1:8">
      <c r="A7" s="148" t="s">
        <v>60</v>
      </c>
      <c r="B7" s="122"/>
      <c r="C7" s="125"/>
      <c r="D7" s="128"/>
      <c r="E7" s="131"/>
      <c r="F7" s="122"/>
      <c r="G7" s="125"/>
      <c r="H7" s="130"/>
    </row>
    <row r="8" spans="1:8" ht="15.75">
      <c r="A8" s="132" t="s">
        <v>51</v>
      </c>
      <c r="B8" s="126"/>
      <c r="C8" s="127"/>
      <c r="D8" s="128"/>
      <c r="E8" s="149" t="s">
        <v>295</v>
      </c>
      <c r="F8" s="126"/>
      <c r="G8" s="127"/>
      <c r="H8" s="130"/>
    </row>
    <row r="9" spans="1:8" ht="15.75">
      <c r="A9" s="133" t="s">
        <v>292</v>
      </c>
      <c r="B9" s="126"/>
      <c r="C9" s="127"/>
      <c r="D9" s="128"/>
      <c r="E9" s="131"/>
      <c r="F9" s="122"/>
      <c r="G9" s="127"/>
      <c r="H9" s="130"/>
    </row>
    <row r="10" spans="1:8" ht="15.75">
      <c r="A10" s="133" t="s">
        <v>35</v>
      </c>
      <c r="B10" s="126"/>
      <c r="C10" s="127"/>
      <c r="D10" s="128"/>
      <c r="E10" s="131"/>
      <c r="F10" s="122"/>
      <c r="G10" s="125"/>
      <c r="H10" s="130"/>
    </row>
    <row r="11" spans="1:8" ht="15.75">
      <c r="A11" s="133" t="s">
        <v>36</v>
      </c>
      <c r="B11" s="126"/>
      <c r="C11" s="127"/>
      <c r="D11" s="128"/>
      <c r="E11" s="131"/>
      <c r="F11" s="122"/>
      <c r="G11" s="125"/>
      <c r="H11" s="130"/>
    </row>
    <row r="12" spans="1:8" ht="16.5" thickBot="1">
      <c r="A12" s="134" t="s">
        <v>37</v>
      </c>
      <c r="B12" s="135"/>
      <c r="C12" s="136"/>
      <c r="D12" s="137"/>
      <c r="E12" s="138"/>
      <c r="F12" s="139"/>
      <c r="G12" s="140"/>
      <c r="H12" s="141"/>
    </row>
    <row r="13" spans="1:8" ht="16.5" thickTop="1">
      <c r="A13" s="147" t="s">
        <v>264</v>
      </c>
      <c r="B13" s="142"/>
      <c r="C13" s="143"/>
      <c r="D13" s="144"/>
      <c r="E13" s="151" t="s">
        <v>296</v>
      </c>
      <c r="F13" s="142"/>
      <c r="G13" s="143"/>
      <c r="H13" s="145"/>
    </row>
    <row r="14" spans="1:8">
      <c r="A14" s="122"/>
      <c r="B14" s="122"/>
      <c r="C14" s="122"/>
      <c r="D14" s="122"/>
      <c r="E14" s="122"/>
      <c r="F14" s="122"/>
      <c r="G14" s="122"/>
      <c r="H14" s="122"/>
    </row>
    <row r="15" spans="1:8">
      <c r="A15" s="122"/>
      <c r="B15" s="122"/>
      <c r="C15" s="122"/>
      <c r="D15" s="122"/>
      <c r="E15" s="122"/>
      <c r="F15" s="122"/>
      <c r="G15" s="122"/>
      <c r="H15" s="122"/>
    </row>
    <row r="16" spans="1:8">
      <c r="A16" s="146" t="s">
        <v>293</v>
      </c>
      <c r="B16" s="122"/>
      <c r="C16" s="122"/>
      <c r="D16" s="122"/>
      <c r="E16" s="122"/>
      <c r="F16" s="122"/>
      <c r="G16" s="122"/>
      <c r="H16" s="122"/>
    </row>
    <row r="17" spans="1:8">
      <c r="A17" s="150" t="s">
        <v>297</v>
      </c>
      <c r="B17" s="122"/>
      <c r="C17" s="122"/>
      <c r="D17" s="122"/>
      <c r="E17" s="122"/>
      <c r="F17" s="122"/>
      <c r="G17" s="122"/>
      <c r="H17" s="122"/>
    </row>
    <row r="18" spans="1:8">
      <c r="A18" s="122"/>
      <c r="B18" s="122"/>
      <c r="C18" s="122"/>
      <c r="D18" s="122"/>
      <c r="E18" s="122"/>
      <c r="F18" s="122"/>
      <c r="G18" s="122"/>
      <c r="H18" s="122"/>
    </row>
  </sheetData>
  <mergeCells count="2">
    <mergeCell ref="A2:H2"/>
    <mergeCell ref="A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topLeftCell="A19" zoomScale="142" zoomScaleNormal="142" workbookViewId="0">
      <selection activeCell="A24" sqref="A24"/>
    </sheetView>
  </sheetViews>
  <sheetFormatPr defaultRowHeight="15"/>
  <cols>
    <col min="1" max="1" width="86.28515625" customWidth="1"/>
  </cols>
  <sheetData>
    <row r="1" spans="1:6" ht="23.25">
      <c r="A1" s="221" t="s">
        <v>298</v>
      </c>
      <c r="B1" s="221"/>
      <c r="C1" s="221"/>
      <c r="D1" s="157"/>
      <c r="E1" s="157"/>
      <c r="F1" s="157"/>
    </row>
    <row r="2" spans="1:6" ht="23.25" customHeight="1">
      <c r="A2" s="179" t="s">
        <v>322</v>
      </c>
      <c r="B2" s="179"/>
      <c r="C2" s="179"/>
      <c r="D2" s="158"/>
      <c r="E2" s="158"/>
      <c r="F2" s="158"/>
    </row>
    <row r="3" spans="1:6" ht="23.25" customHeight="1">
      <c r="A3" s="179" t="s">
        <v>323</v>
      </c>
      <c r="B3" s="179"/>
      <c r="C3" s="179"/>
      <c r="D3" s="158"/>
      <c r="E3" s="158"/>
      <c r="F3" s="158"/>
    </row>
    <row r="5" spans="1:6">
      <c r="A5" t="s">
        <v>201</v>
      </c>
    </row>
    <row r="6" spans="1:6">
      <c r="A6" t="s">
        <v>202</v>
      </c>
    </row>
    <row r="7" spans="1:6">
      <c r="A7" t="s">
        <v>299</v>
      </c>
    </row>
    <row r="8" spans="1:6">
      <c r="A8" t="s">
        <v>300</v>
      </c>
    </row>
    <row r="10" spans="1:6">
      <c r="A10" s="156" t="s">
        <v>301</v>
      </c>
    </row>
    <row r="11" spans="1:6">
      <c r="A11" t="s">
        <v>302</v>
      </c>
    </row>
    <row r="12" spans="1:6">
      <c r="A12" t="s">
        <v>353</v>
      </c>
    </row>
    <row r="13" spans="1:6">
      <c r="A13" t="s">
        <v>303</v>
      </c>
    </row>
    <row r="14" spans="1:6">
      <c r="A14" t="s">
        <v>312</v>
      </c>
    </row>
    <row r="16" spans="1:6">
      <c r="A16" s="156" t="s">
        <v>304</v>
      </c>
    </row>
    <row r="17" spans="1:1">
      <c r="A17" t="s">
        <v>305</v>
      </c>
    </row>
    <row r="18" spans="1:1">
      <c r="A18" t="s">
        <v>313</v>
      </c>
    </row>
    <row r="19" spans="1:1">
      <c r="A19" t="s">
        <v>306</v>
      </c>
    </row>
    <row r="20" spans="1:1">
      <c r="A20" t="s">
        <v>314</v>
      </c>
    </row>
    <row r="21" spans="1:1">
      <c r="A21" t="s">
        <v>315</v>
      </c>
    </row>
    <row r="22" spans="1:1">
      <c r="A22" t="s">
        <v>316</v>
      </c>
    </row>
    <row r="23" spans="1:1">
      <c r="A23" t="s">
        <v>365</v>
      </c>
    </row>
    <row r="24" spans="1:1">
      <c r="A24" t="s">
        <v>307</v>
      </c>
    </row>
    <row r="25" spans="1:1">
      <c r="A25" t="s">
        <v>308</v>
      </c>
    </row>
    <row r="26" spans="1:1">
      <c r="A26" t="s">
        <v>317</v>
      </c>
    </row>
    <row r="28" spans="1:1">
      <c r="A28" s="156" t="s">
        <v>309</v>
      </c>
    </row>
    <row r="29" spans="1:1">
      <c r="A29" t="s">
        <v>310</v>
      </c>
    </row>
    <row r="30" spans="1:1">
      <c r="A30" t="s">
        <v>318</v>
      </c>
    </row>
    <row r="31" spans="1:1">
      <c r="A31" t="s">
        <v>319</v>
      </c>
    </row>
    <row r="32" spans="1:1">
      <c r="A32" t="s">
        <v>311</v>
      </c>
    </row>
    <row r="33" spans="1:1">
      <c r="A33" t="s">
        <v>320</v>
      </c>
    </row>
    <row r="34" spans="1:1">
      <c r="A34" t="s">
        <v>321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18" zoomScaleNormal="118" workbookViewId="0">
      <selection sqref="A1:F1"/>
    </sheetView>
  </sheetViews>
  <sheetFormatPr defaultRowHeight="15"/>
  <cols>
    <col min="1" max="1" width="25" customWidth="1"/>
    <col min="2" max="2" width="16.28515625" customWidth="1"/>
    <col min="3" max="3" width="19.42578125" customWidth="1"/>
    <col min="4" max="4" width="20.7109375" customWidth="1"/>
    <col min="5" max="5" width="21" customWidth="1"/>
    <col min="6" max="6" width="16" customWidth="1"/>
    <col min="7" max="7" width="15.7109375" customWidth="1"/>
    <col min="8" max="8" width="14.7109375" customWidth="1"/>
    <col min="9" max="9" width="12" bestFit="1" customWidth="1"/>
  </cols>
  <sheetData>
    <row r="1" spans="1:7" ht="26.25">
      <c r="A1" s="222" t="s">
        <v>367</v>
      </c>
      <c r="B1" s="222"/>
      <c r="C1" s="222"/>
      <c r="D1" s="222"/>
      <c r="E1" s="222"/>
      <c r="F1" s="222"/>
      <c r="G1" t="s">
        <v>383</v>
      </c>
    </row>
    <row r="2" spans="1:7" ht="28.5">
      <c r="A2" s="223" t="s">
        <v>324</v>
      </c>
      <c r="B2" s="223"/>
      <c r="C2" s="223"/>
      <c r="D2" s="223"/>
      <c r="E2" s="223"/>
      <c r="F2" s="223"/>
    </row>
    <row r="4" spans="1:7">
      <c r="A4" s="169" t="s">
        <v>325</v>
      </c>
      <c r="B4" s="156"/>
      <c r="C4" s="156"/>
    </row>
    <row r="5" spans="1:7">
      <c r="A5" s="156" t="s">
        <v>326</v>
      </c>
    </row>
    <row r="6" spans="1:7">
      <c r="A6" t="s">
        <v>327</v>
      </c>
      <c r="B6" s="162">
        <v>37500000</v>
      </c>
    </row>
    <row r="7" spans="1:7">
      <c r="A7" t="s">
        <v>328</v>
      </c>
      <c r="B7">
        <v>5</v>
      </c>
      <c r="C7" t="s">
        <v>194</v>
      </c>
      <c r="D7" s="164"/>
      <c r="E7" s="164"/>
    </row>
    <row r="8" spans="1:7">
      <c r="A8" t="s">
        <v>329</v>
      </c>
      <c r="B8" s="159">
        <v>0.2</v>
      </c>
    </row>
    <row r="9" spans="1:7">
      <c r="A9" t="s">
        <v>330</v>
      </c>
      <c r="B9" t="s">
        <v>332</v>
      </c>
    </row>
    <row r="10" spans="1:7">
      <c r="A10" t="s">
        <v>331</v>
      </c>
      <c r="B10" s="160">
        <v>44180</v>
      </c>
    </row>
    <row r="11" spans="1:7">
      <c r="D11" s="172"/>
    </row>
    <row r="12" spans="1:7">
      <c r="A12" s="169" t="s">
        <v>333</v>
      </c>
    </row>
    <row r="13" spans="1:7">
      <c r="A13" s="225" t="s">
        <v>86</v>
      </c>
      <c r="B13" s="225" t="s">
        <v>334</v>
      </c>
      <c r="C13" s="225" t="s">
        <v>88</v>
      </c>
      <c r="D13" s="225" t="s">
        <v>335</v>
      </c>
      <c r="E13" s="225" t="s">
        <v>90</v>
      </c>
      <c r="F13" s="225" t="s">
        <v>336</v>
      </c>
    </row>
    <row r="14" spans="1:7">
      <c r="A14">
        <v>0</v>
      </c>
      <c r="B14" s="161">
        <v>44180</v>
      </c>
      <c r="C14" s="164"/>
      <c r="F14" s="163">
        <f>+B6</f>
        <v>37500000</v>
      </c>
    </row>
    <row r="15" spans="1:7">
      <c r="A15">
        <v>1</v>
      </c>
      <c r="B15" s="161">
        <f>+B14+365</f>
        <v>44545</v>
      </c>
      <c r="C15" s="164">
        <f t="shared" ref="C15:C19" si="0">PMT($B$8,$B$7,$B$6)*-1</f>
        <v>12539238.873360569</v>
      </c>
      <c r="D15" s="162">
        <f>PPMT($B$8,A15,$B$7,$B$6)*-1</f>
        <v>5039238.8733605687</v>
      </c>
      <c r="E15" s="162">
        <f>IPMT($B$8,A15,$B$7,$B$6)*-1</f>
        <v>7500000</v>
      </c>
      <c r="F15" s="163">
        <f>+F14-D15</f>
        <v>32460761.126639433</v>
      </c>
      <c r="G15" s="163"/>
    </row>
    <row r="16" spans="1:7">
      <c r="A16">
        <v>2</v>
      </c>
      <c r="B16" s="161">
        <f t="shared" ref="B16:B19" si="1">+B15+365</f>
        <v>44910</v>
      </c>
      <c r="C16" s="164">
        <f t="shared" si="0"/>
        <v>12539238.873360569</v>
      </c>
      <c r="D16" s="162">
        <f t="shared" ref="D16:D19" si="2">PPMT($B$8,A16,$B$7,$B$6)*-1</f>
        <v>6047086.648032682</v>
      </c>
      <c r="E16" s="162">
        <f t="shared" ref="E16:E19" si="3">IPMT($B$8,A16,$B$7,$B$6)*-1</f>
        <v>6492152.2253278866</v>
      </c>
      <c r="F16" s="163">
        <f t="shared" ref="F16:F19" si="4">+F15-D16</f>
        <v>26413674.478606753</v>
      </c>
      <c r="G16" s="163"/>
    </row>
    <row r="17" spans="1:7">
      <c r="A17">
        <v>3</v>
      </c>
      <c r="B17" s="161">
        <f t="shared" si="1"/>
        <v>45275</v>
      </c>
      <c r="C17" s="164">
        <f t="shared" si="0"/>
        <v>12539238.873360569</v>
      </c>
      <c r="D17" s="162">
        <f t="shared" si="2"/>
        <v>7256503.9776392179</v>
      </c>
      <c r="E17" s="162">
        <f t="shared" si="3"/>
        <v>5282734.8957213508</v>
      </c>
      <c r="F17" s="163">
        <f t="shared" si="4"/>
        <v>19157170.500967536</v>
      </c>
      <c r="G17" s="163"/>
    </row>
    <row r="18" spans="1:7">
      <c r="A18">
        <v>4</v>
      </c>
      <c r="B18" s="161">
        <f t="shared" si="1"/>
        <v>45640</v>
      </c>
      <c r="C18" s="164">
        <f t="shared" si="0"/>
        <v>12539238.873360569</v>
      </c>
      <c r="D18" s="162">
        <f t="shared" si="2"/>
        <v>8707804.7731670626</v>
      </c>
      <c r="E18" s="162">
        <f t="shared" si="3"/>
        <v>3831434.1001935066</v>
      </c>
      <c r="F18" s="163">
        <f t="shared" si="4"/>
        <v>10449365.727800474</v>
      </c>
      <c r="G18" s="163"/>
    </row>
    <row r="19" spans="1:7">
      <c r="A19">
        <v>5</v>
      </c>
      <c r="B19" s="161">
        <f t="shared" si="1"/>
        <v>46005</v>
      </c>
      <c r="C19" s="164">
        <f t="shared" si="0"/>
        <v>12539238.873360569</v>
      </c>
      <c r="D19" s="162">
        <f t="shared" si="2"/>
        <v>10449365.727800474</v>
      </c>
      <c r="E19" s="162">
        <f t="shared" si="3"/>
        <v>2089873.1455600949</v>
      </c>
      <c r="F19" s="163">
        <f t="shared" si="4"/>
        <v>0</v>
      </c>
      <c r="G19" s="163"/>
    </row>
    <row r="21" spans="1:7">
      <c r="A21" s="169" t="s">
        <v>337</v>
      </c>
      <c r="B21" s="156"/>
      <c r="C21" s="156"/>
    </row>
    <row r="22" spans="1:7">
      <c r="A22" s="156" t="s">
        <v>338</v>
      </c>
    </row>
    <row r="23" spans="1:7">
      <c r="A23" t="s">
        <v>107</v>
      </c>
      <c r="B23" s="162">
        <v>37500000</v>
      </c>
    </row>
    <row r="24" spans="1:7">
      <c r="A24" t="s">
        <v>96</v>
      </c>
      <c r="B24">
        <v>5</v>
      </c>
      <c r="C24" t="s">
        <v>69</v>
      </c>
    </row>
    <row r="25" spans="1:7">
      <c r="A25" t="s">
        <v>339</v>
      </c>
      <c r="B25" s="173">
        <f>+B23*25%</f>
        <v>9375000</v>
      </c>
    </row>
    <row r="26" spans="1:7">
      <c r="A26" t="s">
        <v>64</v>
      </c>
      <c r="B26" t="s">
        <v>340</v>
      </c>
    </row>
    <row r="28" spans="1:7">
      <c r="A28" s="169" t="s">
        <v>384</v>
      </c>
    </row>
    <row r="29" spans="1:7">
      <c r="A29" s="225" t="s">
        <v>341</v>
      </c>
      <c r="B29" s="225" t="s">
        <v>69</v>
      </c>
      <c r="C29" s="225" t="s">
        <v>342</v>
      </c>
      <c r="D29" s="225" t="s">
        <v>343</v>
      </c>
      <c r="E29" s="225" t="s">
        <v>102</v>
      </c>
    </row>
    <row r="30" spans="1:7">
      <c r="A30">
        <v>0</v>
      </c>
      <c r="B30">
        <v>2020</v>
      </c>
      <c r="C30">
        <v>0</v>
      </c>
      <c r="D30">
        <v>0</v>
      </c>
      <c r="E30" s="163">
        <f>+B23</f>
        <v>37500000</v>
      </c>
    </row>
    <row r="31" spans="1:7">
      <c r="A31">
        <v>1</v>
      </c>
      <c r="B31">
        <f>+B30+1</f>
        <v>2021</v>
      </c>
      <c r="C31" s="164">
        <f>SYD($B$23,$B$25,$B$24,A31)</f>
        <v>9375000</v>
      </c>
      <c r="D31" s="164">
        <f>+C31</f>
        <v>9375000</v>
      </c>
      <c r="E31" s="162">
        <f>+E30-C31</f>
        <v>28125000</v>
      </c>
      <c r="F31" s="174"/>
      <c r="G31" s="164"/>
    </row>
    <row r="32" spans="1:7">
      <c r="A32">
        <v>2</v>
      </c>
      <c r="B32">
        <f t="shared" ref="B32:B35" si="5">+B31+1</f>
        <v>2022</v>
      </c>
      <c r="C32" s="164">
        <f t="shared" ref="C32:C35" si="6">SYD($B$23,$B$25,$B$24,A32)</f>
        <v>7500000</v>
      </c>
      <c r="D32" s="164">
        <f>+D31+C32</f>
        <v>16875000</v>
      </c>
      <c r="E32" s="162">
        <f t="shared" ref="E32:E35" si="7">+E31-C32</f>
        <v>20625000</v>
      </c>
      <c r="F32" s="174"/>
      <c r="G32" s="164"/>
    </row>
    <row r="33" spans="1:9">
      <c r="A33">
        <v>3</v>
      </c>
      <c r="B33">
        <f t="shared" si="5"/>
        <v>2023</v>
      </c>
      <c r="C33" s="164">
        <f t="shared" si="6"/>
        <v>5625000</v>
      </c>
      <c r="D33" s="164">
        <f t="shared" ref="D33:D35" si="8">+D32+C33</f>
        <v>22500000</v>
      </c>
      <c r="E33" s="162">
        <f t="shared" si="7"/>
        <v>15000000</v>
      </c>
      <c r="F33" s="174"/>
      <c r="G33" s="164"/>
    </row>
    <row r="34" spans="1:9">
      <c r="A34">
        <v>4</v>
      </c>
      <c r="B34">
        <f t="shared" si="5"/>
        <v>2024</v>
      </c>
      <c r="C34" s="164">
        <f t="shared" si="6"/>
        <v>3750000</v>
      </c>
      <c r="D34" s="164">
        <f t="shared" si="8"/>
        <v>26250000</v>
      </c>
      <c r="E34" s="162">
        <f t="shared" si="7"/>
        <v>11250000</v>
      </c>
      <c r="F34" s="174"/>
      <c r="G34" s="164"/>
    </row>
    <row r="35" spans="1:9">
      <c r="A35">
        <v>5</v>
      </c>
      <c r="B35">
        <f t="shared" si="5"/>
        <v>2025</v>
      </c>
      <c r="C35" s="164">
        <f t="shared" si="6"/>
        <v>1875000</v>
      </c>
      <c r="D35" s="164">
        <f t="shared" si="8"/>
        <v>28125000</v>
      </c>
      <c r="E35" s="175">
        <f t="shared" si="7"/>
        <v>9375000</v>
      </c>
      <c r="F35" s="174"/>
      <c r="G35" s="164"/>
    </row>
    <row r="37" spans="1:9">
      <c r="A37" s="169" t="s">
        <v>344</v>
      </c>
      <c r="B37" s="156"/>
      <c r="C37" s="156"/>
    </row>
    <row r="38" spans="1:9">
      <c r="A38" s="226" t="s">
        <v>341</v>
      </c>
      <c r="B38" s="226" t="s">
        <v>345</v>
      </c>
      <c r="C38" s="226" t="s">
        <v>346</v>
      </c>
      <c r="D38" s="226" t="s">
        <v>347</v>
      </c>
      <c r="E38" s="226" t="s">
        <v>348</v>
      </c>
      <c r="F38" s="226" t="s">
        <v>349</v>
      </c>
      <c r="G38" s="226" t="s">
        <v>350</v>
      </c>
      <c r="H38" s="226" t="s">
        <v>351</v>
      </c>
    </row>
    <row r="39" spans="1:9">
      <c r="A39">
        <v>1</v>
      </c>
      <c r="B39" s="162">
        <f>+$C$15</f>
        <v>12539238.873360569</v>
      </c>
      <c r="C39" s="163">
        <f>+E15</f>
        <v>7500000</v>
      </c>
      <c r="D39" s="164">
        <f>+C31</f>
        <v>9375000</v>
      </c>
      <c r="E39" s="162">
        <f>+(C39+D39)*30%</f>
        <v>5062500</v>
      </c>
      <c r="F39" s="163">
        <f>+B39-E39</f>
        <v>7476738.8733605687</v>
      </c>
      <c r="G39" s="156">
        <f>1/(1+14%)^A39</f>
        <v>0.8771929824561403</v>
      </c>
      <c r="H39" s="162">
        <f>+F39*G39</f>
        <v>6558542.8713689195</v>
      </c>
    </row>
    <row r="40" spans="1:9">
      <c r="A40">
        <v>2</v>
      </c>
      <c r="B40" s="162">
        <f t="shared" ref="B40:B43" si="9">+$C$15</f>
        <v>12539238.873360569</v>
      </c>
      <c r="C40" s="163">
        <f t="shared" ref="C40:C43" si="10">+E16</f>
        <v>6492152.2253278866</v>
      </c>
      <c r="D40" s="164">
        <f t="shared" ref="D40:D43" si="11">+C32</f>
        <v>7500000</v>
      </c>
      <c r="E40" s="162">
        <f t="shared" ref="E40:E43" si="12">+(C40+D40)*30%</f>
        <v>4197645.6675983658</v>
      </c>
      <c r="F40" s="163">
        <f t="shared" ref="F40:F43" si="13">+B40-E40</f>
        <v>8341593.2057622029</v>
      </c>
      <c r="G40" s="156">
        <f t="shared" ref="G40:G43" si="14">1/(1+14%)^A40</f>
        <v>0.76946752847029842</v>
      </c>
      <c r="H40" s="162">
        <f t="shared" ref="H40:H43" si="15">+F40*G40</f>
        <v>6418585.1075424757</v>
      </c>
    </row>
    <row r="41" spans="1:9">
      <c r="A41">
        <v>3</v>
      </c>
      <c r="B41" s="162">
        <f t="shared" si="9"/>
        <v>12539238.873360569</v>
      </c>
      <c r="C41" s="163">
        <f t="shared" si="10"/>
        <v>5282734.8957213508</v>
      </c>
      <c r="D41" s="164">
        <f t="shared" si="11"/>
        <v>5625000</v>
      </c>
      <c r="E41" s="162">
        <f t="shared" si="12"/>
        <v>3272320.4687164049</v>
      </c>
      <c r="F41" s="163">
        <f t="shared" si="13"/>
        <v>9266918.4046441633</v>
      </c>
      <c r="G41" s="156">
        <f t="shared" si="14"/>
        <v>0.67497151620201612</v>
      </c>
      <c r="H41" s="162">
        <f t="shared" si="15"/>
        <v>6254905.9661030397</v>
      </c>
    </row>
    <row r="42" spans="1:9">
      <c r="A42">
        <v>4</v>
      </c>
      <c r="B42" s="162">
        <f t="shared" si="9"/>
        <v>12539238.873360569</v>
      </c>
      <c r="C42" s="163">
        <f t="shared" si="10"/>
        <v>3831434.1001935066</v>
      </c>
      <c r="D42" s="164">
        <f t="shared" si="11"/>
        <v>3750000</v>
      </c>
      <c r="E42" s="162">
        <f t="shared" si="12"/>
        <v>2274430.2300580516</v>
      </c>
      <c r="F42" s="163">
        <f t="shared" si="13"/>
        <v>10264808.643302517</v>
      </c>
      <c r="G42" s="156">
        <f t="shared" si="14"/>
        <v>0.59208027737018942</v>
      </c>
      <c r="H42" s="162">
        <f t="shared" si="15"/>
        <v>6077590.7486784719</v>
      </c>
    </row>
    <row r="43" spans="1:9">
      <c r="A43">
        <v>5</v>
      </c>
      <c r="B43" s="162">
        <f t="shared" si="9"/>
        <v>12539238.873360569</v>
      </c>
      <c r="C43" s="163">
        <f t="shared" si="10"/>
        <v>2089873.1455600949</v>
      </c>
      <c r="D43" s="164">
        <f t="shared" si="11"/>
        <v>1875000</v>
      </c>
      <c r="E43" s="162">
        <f t="shared" si="12"/>
        <v>1189461.9436680286</v>
      </c>
      <c r="F43" s="163">
        <f t="shared" si="13"/>
        <v>11349776.92969254</v>
      </c>
      <c r="G43" s="156">
        <f t="shared" si="14"/>
        <v>0.51936866435981521</v>
      </c>
      <c r="H43" s="162">
        <f t="shared" si="15"/>
        <v>5894718.4847562592</v>
      </c>
      <c r="I43" s="163">
        <f>SUM(H39:H43)</f>
        <v>31204343.178449169</v>
      </c>
    </row>
    <row r="44" spans="1:9">
      <c r="A44">
        <v>5</v>
      </c>
      <c r="F44" s="165">
        <f>+E35</f>
        <v>9375000</v>
      </c>
      <c r="G44" s="156">
        <f>+G43</f>
        <v>0.51936866435981521</v>
      </c>
      <c r="H44" s="165">
        <f>+F44*G44*-1</f>
        <v>-4869081.2283732677</v>
      </c>
      <c r="I44" s="162">
        <f>+F44*G44</f>
        <v>4869081.2283732677</v>
      </c>
    </row>
    <row r="45" spans="1:9">
      <c r="A45" t="s">
        <v>360</v>
      </c>
      <c r="F45" t="s">
        <v>359</v>
      </c>
      <c r="H45" s="168">
        <f>SUM(H39:H44)</f>
        <v>26335261.950075902</v>
      </c>
      <c r="I45" s="163">
        <f>+I43-I44</f>
        <v>26335261.950075902</v>
      </c>
    </row>
    <row r="47" spans="1:9">
      <c r="A47" t="s">
        <v>352</v>
      </c>
    </row>
    <row r="48" spans="1:9">
      <c r="A48" t="s">
        <v>354</v>
      </c>
      <c r="C48" s="162"/>
      <c r="D48" s="162"/>
      <c r="E48" s="162"/>
    </row>
    <row r="49" spans="1:6">
      <c r="A49" t="s">
        <v>355</v>
      </c>
      <c r="C49" s="162"/>
      <c r="D49" s="162"/>
      <c r="E49" s="162"/>
    </row>
    <row r="50" spans="1:6">
      <c r="A50" t="s">
        <v>356</v>
      </c>
    </row>
    <row r="51" spans="1:6">
      <c r="A51" t="s">
        <v>357</v>
      </c>
    </row>
    <row r="52" spans="1:6">
      <c r="A52" t="s">
        <v>358</v>
      </c>
    </row>
    <row r="54" spans="1:6">
      <c r="A54" s="169" t="s">
        <v>361</v>
      </c>
      <c r="B54" s="156"/>
      <c r="C54" s="156"/>
      <c r="D54" s="156"/>
    </row>
    <row r="55" spans="1:6">
      <c r="A55" s="226" t="s">
        <v>362</v>
      </c>
      <c r="B55" s="226" t="s">
        <v>363</v>
      </c>
      <c r="C55" s="226" t="s">
        <v>348</v>
      </c>
      <c r="D55" s="226" t="s">
        <v>349</v>
      </c>
      <c r="E55" s="226" t="s">
        <v>364</v>
      </c>
      <c r="F55" s="226" t="s">
        <v>351</v>
      </c>
    </row>
    <row r="56" spans="1:6">
      <c r="A56">
        <v>0</v>
      </c>
      <c r="B56" s="162">
        <v>7500000</v>
      </c>
      <c r="D56" s="163">
        <f>+B56</f>
        <v>7500000</v>
      </c>
      <c r="E56" s="166">
        <f>1/(1+14%)^A56</f>
        <v>1</v>
      </c>
      <c r="F56" s="162">
        <f>+D56*E56</f>
        <v>7500000</v>
      </c>
    </row>
    <row r="57" spans="1:6">
      <c r="A57">
        <v>1</v>
      </c>
      <c r="B57" s="162">
        <v>7500000</v>
      </c>
      <c r="C57" s="162">
        <f>+B57*30%</f>
        <v>2250000</v>
      </c>
      <c r="D57" s="163">
        <f>+B57-C57</f>
        <v>5250000</v>
      </c>
      <c r="E57" s="166">
        <f t="shared" ref="E57:E61" si="16">1/(1+14%)^A57</f>
        <v>0.8771929824561403</v>
      </c>
      <c r="F57" s="162">
        <f>+D57*E57</f>
        <v>4605263.1578947362</v>
      </c>
    </row>
    <row r="58" spans="1:6">
      <c r="A58">
        <v>2</v>
      </c>
      <c r="B58" s="162">
        <v>7500000</v>
      </c>
      <c r="C58" s="162">
        <f t="shared" ref="C58:C61" si="17">+B58*30%</f>
        <v>2250000</v>
      </c>
      <c r="D58" s="163">
        <f t="shared" ref="D58:D61" si="18">+B58-C58</f>
        <v>5250000</v>
      </c>
      <c r="E58" s="166">
        <f t="shared" si="16"/>
        <v>0.76946752847029842</v>
      </c>
      <c r="F58" s="162">
        <f t="shared" ref="F58:F61" si="19">+D58*E58</f>
        <v>4039704.5244690669</v>
      </c>
    </row>
    <row r="59" spans="1:6">
      <c r="A59">
        <v>3</v>
      </c>
      <c r="B59" s="162">
        <v>7500000</v>
      </c>
      <c r="C59" s="162">
        <f t="shared" si="17"/>
        <v>2250000</v>
      </c>
      <c r="D59" s="163">
        <f t="shared" si="18"/>
        <v>5250000</v>
      </c>
      <c r="E59" s="166">
        <f t="shared" si="16"/>
        <v>0.67497151620201612</v>
      </c>
      <c r="F59" s="162">
        <f t="shared" si="19"/>
        <v>3543600.4600605848</v>
      </c>
    </row>
    <row r="60" spans="1:6">
      <c r="A60">
        <v>4</v>
      </c>
      <c r="B60" s="162">
        <v>7500000</v>
      </c>
      <c r="C60" s="162">
        <f t="shared" si="17"/>
        <v>2250000</v>
      </c>
      <c r="D60" s="163">
        <f t="shared" si="18"/>
        <v>5250000</v>
      </c>
      <c r="E60" s="166">
        <f t="shared" si="16"/>
        <v>0.59208027737018942</v>
      </c>
      <c r="F60" s="162">
        <f t="shared" si="19"/>
        <v>3108421.4561934946</v>
      </c>
    </row>
    <row r="61" spans="1:6">
      <c r="A61">
        <v>5</v>
      </c>
      <c r="B61" s="162">
        <v>7500000</v>
      </c>
      <c r="C61" s="162">
        <f t="shared" si="17"/>
        <v>2250000</v>
      </c>
      <c r="D61" s="163">
        <f t="shared" si="18"/>
        <v>5250000</v>
      </c>
      <c r="E61" s="166">
        <f t="shared" si="16"/>
        <v>0.51936866435981521</v>
      </c>
      <c r="F61" s="162">
        <f t="shared" si="19"/>
        <v>2726685.48788903</v>
      </c>
    </row>
    <row r="62" spans="1:6">
      <c r="D62" t="s">
        <v>359</v>
      </c>
      <c r="F62" s="168">
        <f>SUM(F56:F61)</f>
        <v>25523675.086506911</v>
      </c>
    </row>
    <row r="64" spans="1:6">
      <c r="A64" s="227" t="s">
        <v>366</v>
      </c>
      <c r="B64" s="167"/>
      <c r="C64" s="167"/>
      <c r="D64" s="167"/>
      <c r="E64" s="167"/>
    </row>
    <row r="65" spans="1:7">
      <c r="A65" s="169" t="s">
        <v>368</v>
      </c>
      <c r="B65" s="156"/>
      <c r="C65" s="156"/>
      <c r="D65" s="156"/>
      <c r="E65" s="156"/>
      <c r="F65" s="156"/>
      <c r="G65" s="156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topLeftCell="A8" zoomScale="166" zoomScaleNormal="166" workbookViewId="0">
      <selection activeCell="A20" sqref="A20"/>
    </sheetView>
  </sheetViews>
  <sheetFormatPr defaultRowHeight="15"/>
  <cols>
    <col min="1" max="1" width="19" customWidth="1"/>
    <col min="2" max="2" width="14.28515625" bestFit="1" customWidth="1"/>
    <col min="3" max="3" width="14.85546875" customWidth="1"/>
    <col min="4" max="5" width="14.140625" customWidth="1"/>
    <col min="6" max="6" width="16.140625" customWidth="1"/>
    <col min="7" max="7" width="16.28515625" customWidth="1"/>
  </cols>
  <sheetData>
    <row r="1" spans="1:7">
      <c r="A1" s="224" t="s">
        <v>369</v>
      </c>
      <c r="B1" s="224"/>
      <c r="C1" s="224"/>
      <c r="D1" s="224"/>
      <c r="E1" s="224"/>
      <c r="F1" s="224"/>
      <c r="G1" s="224"/>
    </row>
    <row r="2" spans="1:7">
      <c r="A2" s="224" t="s">
        <v>370</v>
      </c>
      <c r="B2" s="224"/>
      <c r="C2" s="224"/>
      <c r="D2" s="224"/>
      <c r="E2" s="224"/>
      <c r="F2" s="224"/>
      <c r="G2" s="224"/>
    </row>
    <row r="3" spans="1:7">
      <c r="A3" t="s">
        <v>371</v>
      </c>
    </row>
    <row r="4" spans="1:7">
      <c r="A4" t="s">
        <v>372</v>
      </c>
    </row>
    <row r="5" spans="1:7">
      <c r="A5" s="170" t="s">
        <v>377</v>
      </c>
      <c r="B5" s="170">
        <v>2021</v>
      </c>
      <c r="C5" s="170">
        <f>+B5+1</f>
        <v>2022</v>
      </c>
      <c r="D5" s="170">
        <f t="shared" ref="D5:G5" si="0">+C5+1</f>
        <v>2023</v>
      </c>
      <c r="E5" s="170">
        <f t="shared" si="0"/>
        <v>2024</v>
      </c>
      <c r="F5" s="170">
        <f t="shared" si="0"/>
        <v>2025</v>
      </c>
      <c r="G5" s="170">
        <f t="shared" si="0"/>
        <v>2026</v>
      </c>
    </row>
    <row r="6" spans="1:7">
      <c r="A6" t="s">
        <v>146</v>
      </c>
      <c r="B6" s="162">
        <v>3000</v>
      </c>
      <c r="C6" s="162">
        <f>+B6+(B6*15%)</f>
        <v>3450</v>
      </c>
      <c r="D6" s="162">
        <f t="shared" ref="D6:G6" si="1">+C6+(C6*15%)</f>
        <v>3967.5</v>
      </c>
      <c r="E6" s="162">
        <f t="shared" si="1"/>
        <v>4562.625</v>
      </c>
      <c r="F6" s="162">
        <f t="shared" si="1"/>
        <v>5247.0187500000002</v>
      </c>
      <c r="G6" s="162">
        <f t="shared" si="1"/>
        <v>6034.0715625000003</v>
      </c>
    </row>
    <row r="7" spans="1:7">
      <c r="A7" t="s">
        <v>373</v>
      </c>
      <c r="B7" s="163">
        <f>+'jawaban kasus4'!C35</f>
        <v>1000000</v>
      </c>
      <c r="C7" s="163">
        <f>+B7+(B7*20%)</f>
        <v>1200000</v>
      </c>
      <c r="D7" s="163">
        <f t="shared" ref="D7:G7" si="2">+C7+(C7*20%)</f>
        <v>1440000</v>
      </c>
      <c r="E7" s="163">
        <f t="shared" si="2"/>
        <v>1728000</v>
      </c>
      <c r="F7" s="163">
        <f t="shared" si="2"/>
        <v>2073600</v>
      </c>
      <c r="G7" s="163">
        <f t="shared" si="2"/>
        <v>2488320</v>
      </c>
    </row>
    <row r="8" spans="1:7">
      <c r="A8" t="s">
        <v>374</v>
      </c>
      <c r="B8" s="163">
        <f>+'jawaban kasus4'!C36</f>
        <v>550000</v>
      </c>
      <c r="C8" s="163">
        <f>+B8+(B8*15%)</f>
        <v>632500</v>
      </c>
      <c r="D8" s="163">
        <f t="shared" ref="D8:G8" si="3">+C8+(C8*15%)</f>
        <v>727375</v>
      </c>
      <c r="E8" s="163">
        <f t="shared" si="3"/>
        <v>836481.25</v>
      </c>
      <c r="F8" s="163">
        <f t="shared" si="3"/>
        <v>961953.4375</v>
      </c>
      <c r="G8" s="163">
        <f t="shared" si="3"/>
        <v>1106246.453125</v>
      </c>
    </row>
    <row r="10" spans="1:7">
      <c r="A10" t="s">
        <v>375</v>
      </c>
    </row>
    <row r="11" spans="1:7">
      <c r="A11" s="170" t="s">
        <v>377</v>
      </c>
      <c r="B11" s="170">
        <v>2021</v>
      </c>
      <c r="C11" s="170">
        <f>+B11+1</f>
        <v>2022</v>
      </c>
      <c r="D11" s="170">
        <f t="shared" ref="D11:G11" si="4">+C11+1</f>
        <v>2023</v>
      </c>
      <c r="E11" s="170">
        <f t="shared" si="4"/>
        <v>2024</v>
      </c>
      <c r="F11" s="170">
        <f t="shared" si="4"/>
        <v>2025</v>
      </c>
      <c r="G11" s="170">
        <f t="shared" si="4"/>
        <v>2026</v>
      </c>
    </row>
    <row r="12" spans="1:7">
      <c r="A12" t="s">
        <v>376</v>
      </c>
      <c r="B12" s="163">
        <f>+B6*B7</f>
        <v>3000000000</v>
      </c>
      <c r="C12" s="163">
        <f t="shared" ref="C12:G12" si="5">+C6*C7</f>
        <v>4140000000</v>
      </c>
      <c r="D12" s="163">
        <f t="shared" si="5"/>
        <v>5713200000</v>
      </c>
      <c r="E12" s="163">
        <f t="shared" si="5"/>
        <v>7884216000</v>
      </c>
      <c r="F12" s="163">
        <f t="shared" si="5"/>
        <v>10880218080</v>
      </c>
      <c r="G12" s="163">
        <f t="shared" si="5"/>
        <v>15014700950.400002</v>
      </c>
    </row>
    <row r="13" spans="1:7">
      <c r="A13" t="s">
        <v>148</v>
      </c>
      <c r="B13" s="163">
        <f>+B8*B6</f>
        <v>1650000000</v>
      </c>
      <c r="C13" s="163">
        <f t="shared" ref="C13:G13" si="6">+C8*C6</f>
        <v>2182125000</v>
      </c>
      <c r="D13" s="163">
        <f t="shared" si="6"/>
        <v>2885860312.5</v>
      </c>
      <c r="E13" s="163">
        <f t="shared" si="6"/>
        <v>3816550263.28125</v>
      </c>
      <c r="F13" s="163">
        <f t="shared" si="6"/>
        <v>5047387723.1894531</v>
      </c>
      <c r="G13" s="163">
        <f t="shared" si="6"/>
        <v>6675170263.9180517</v>
      </c>
    </row>
    <row r="14" spans="1:7">
      <c r="A14" s="171" t="s">
        <v>378</v>
      </c>
      <c r="B14" s="163">
        <f>+B12-B13</f>
        <v>1350000000</v>
      </c>
      <c r="C14" s="163">
        <f t="shared" ref="C14:G14" si="7">+C12-C13</f>
        <v>1957875000</v>
      </c>
      <c r="D14" s="163">
        <f t="shared" si="7"/>
        <v>2827339687.5</v>
      </c>
      <c r="E14" s="163">
        <f t="shared" si="7"/>
        <v>4067665736.71875</v>
      </c>
      <c r="F14" s="163">
        <f t="shared" si="7"/>
        <v>5832830356.8105469</v>
      </c>
      <c r="G14" s="163">
        <f t="shared" si="7"/>
        <v>8339530686.4819498</v>
      </c>
    </row>
    <row r="15" spans="1:7">
      <c r="A15" t="s">
        <v>379</v>
      </c>
    </row>
    <row r="16" spans="1:7">
      <c r="A16" t="s">
        <v>380</v>
      </c>
      <c r="B16" s="163">
        <f>+'jawaban kasus4'!D43</f>
        <v>459000000</v>
      </c>
      <c r="C16" s="163">
        <f>+B16+(B16*15%)</f>
        <v>527850000</v>
      </c>
      <c r="D16" s="163">
        <f t="shared" ref="D16:G16" si="8">+C16+(C16*15%)</f>
        <v>607027500</v>
      </c>
      <c r="E16" s="163">
        <f t="shared" si="8"/>
        <v>698081625</v>
      </c>
      <c r="F16" s="163">
        <f t="shared" si="8"/>
        <v>802793868.75</v>
      </c>
      <c r="G16" s="163">
        <f t="shared" si="8"/>
        <v>923212949.0625</v>
      </c>
    </row>
    <row r="17" spans="1:7">
      <c r="A17" t="s">
        <v>381</v>
      </c>
      <c r="C17" s="163">
        <f>+'JAWABAN KASUS 7'!B57</f>
        <v>7500000</v>
      </c>
      <c r="D17" s="163">
        <v>7500000</v>
      </c>
      <c r="E17" s="163">
        <v>7500000</v>
      </c>
      <c r="F17" s="163">
        <v>7500000</v>
      </c>
      <c r="G17" s="163">
        <v>7500000</v>
      </c>
    </row>
    <row r="19" spans="1:7">
      <c r="A19" t="s">
        <v>382</v>
      </c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jawaban kasus2</vt:lpstr>
      <vt:lpstr>jawaban kasus3</vt:lpstr>
      <vt:lpstr>jawaban kasus4</vt:lpstr>
      <vt:lpstr>soal bep</vt:lpstr>
      <vt:lpstr>kasus 6</vt:lpstr>
      <vt:lpstr>neraca perbandingan kasus 6</vt:lpstr>
      <vt:lpstr>kasus 7</vt:lpstr>
      <vt:lpstr>JAWABAN KASUS 7</vt:lpstr>
      <vt:lpstr>jawaban kasus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X200M</dc:creator>
  <cp:lastModifiedBy>ASUS X200M</cp:lastModifiedBy>
  <dcterms:created xsi:type="dcterms:W3CDTF">2021-03-22T03:55:07Z</dcterms:created>
  <dcterms:modified xsi:type="dcterms:W3CDTF">2021-06-15T05:11:55Z</dcterms:modified>
</cp:coreProperties>
</file>